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55886FAB-F5C0-40E6-BD4B-32CC01117B28}"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1" l="1"/>
  <c r="AA17" i="1"/>
  <c r="AU17" i="1"/>
  <c r="AU22" i="1"/>
  <c r="AA22" i="1"/>
  <c r="AT20" i="1"/>
  <c r="AT21" i="1"/>
  <c r="AT19" i="1"/>
  <c r="AT18" i="1"/>
  <c r="AT16" i="1"/>
  <c r="AT15" i="1"/>
  <c r="AT14" i="1"/>
  <c r="Z12" i="1"/>
  <c r="AT13" i="1" s="1"/>
  <c r="Z11" i="1"/>
  <c r="AT11" i="1" s="1"/>
  <c r="Z21" i="1"/>
  <c r="Z20" i="1"/>
  <c r="Z16" i="1"/>
  <c r="Z15" i="1"/>
  <c r="Z14" i="1"/>
  <c r="Z13" i="1"/>
  <c r="AN16" i="1"/>
  <c r="AP16" i="1" s="1"/>
  <c r="AI16" i="1"/>
  <c r="AK16" i="1" s="1"/>
  <c r="AD16" i="1"/>
  <c r="AF16" i="1" s="1"/>
  <c r="Y16" i="1"/>
  <c r="T16" i="1"/>
  <c r="AS16" i="1" s="1"/>
  <c r="T15" i="1"/>
  <c r="AS15" i="1" s="1"/>
  <c r="T14" i="1"/>
  <c r="AS14" i="1" s="1"/>
  <c r="T13" i="1"/>
  <c r="AS13" i="1" s="1"/>
  <c r="T12" i="1"/>
  <c r="AS12" i="1" s="1"/>
  <c r="T11" i="1"/>
  <c r="AS11" i="1" s="1"/>
  <c r="AN21" i="1"/>
  <c r="AP21" i="1" s="1"/>
  <c r="AI21" i="1"/>
  <c r="AK21" i="1" s="1"/>
  <c r="AD21" i="1"/>
  <c r="AF21" i="1" s="1"/>
  <c r="Y21" i="1"/>
  <c r="AN20" i="1"/>
  <c r="AP20" i="1" s="1"/>
  <c r="AI20" i="1"/>
  <c r="AK20" i="1" s="1"/>
  <c r="AD20" i="1"/>
  <c r="AF20" i="1" s="1"/>
  <c r="Y20" i="1"/>
  <c r="AN19" i="1"/>
  <c r="AP19" i="1" s="1"/>
  <c r="AI19" i="1"/>
  <c r="AK19" i="1" s="1"/>
  <c r="AD19" i="1"/>
  <c r="AF19" i="1" s="1"/>
  <c r="Y19" i="1"/>
  <c r="AA19" i="1" s="1"/>
  <c r="AN18" i="1"/>
  <c r="AP18" i="1" s="1"/>
  <c r="AI18" i="1"/>
  <c r="AK18" i="1" s="1"/>
  <c r="AD18" i="1"/>
  <c r="AF18" i="1" s="1"/>
  <c r="Y18" i="1"/>
  <c r="AA18" i="1" s="1"/>
  <c r="T21" i="1"/>
  <c r="AS21" i="1" s="1"/>
  <c r="T20" i="1"/>
  <c r="AS20" i="1" s="1"/>
  <c r="T19" i="1"/>
  <c r="AS19" i="1" s="1"/>
  <c r="T18" i="1"/>
  <c r="AS18"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Y14" i="1"/>
  <c r="Y15" i="1"/>
  <c r="Y11" i="1"/>
  <c r="AA13" i="1"/>
  <c r="AA21" i="1" l="1"/>
  <c r="AA20" i="1"/>
  <c r="AA16" i="1"/>
  <c r="AA15" i="1"/>
  <c r="AU15" i="1"/>
  <c r="AU14" i="1"/>
  <c r="AA14" i="1"/>
  <c r="AA11" i="1"/>
  <c r="AU16" i="1"/>
  <c r="AP22" i="1"/>
  <c r="AF22" i="1"/>
  <c r="AF17" i="1"/>
  <c r="AF23" i="1" s="1"/>
  <c r="AK17" i="1"/>
  <c r="AK22" i="1"/>
  <c r="AK23" i="1" s="1"/>
  <c r="AP17" i="1"/>
  <c r="AU21" i="1"/>
  <c r="AU20" i="1"/>
  <c r="AU19" i="1"/>
  <c r="AU18" i="1"/>
  <c r="AU13" i="1"/>
  <c r="AU12" i="1"/>
  <c r="AU11" i="1"/>
  <c r="AA23" i="1" l="1"/>
  <c r="AU23" i="1"/>
  <c r="AP23" i="1"/>
</calcChain>
</file>

<file path=xl/sharedStrings.xml><?xml version="1.0" encoding="utf-8"?>
<sst xmlns="http://schemas.openxmlformats.org/spreadsheetml/2006/main" count="472" uniqueCount="323">
  <si>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</si>
  <si>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</si>
  <si>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</si>
  <si>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Jurídica</t>
  </si>
  <si>
    <t>CONTROL DE CAMBIOS</t>
  </si>
  <si>
    <t>VERSIÓN</t>
  </si>
  <si>
    <t>FECHA</t>
  </si>
  <si>
    <t>DESCRIPCIÓN</t>
  </si>
  <si>
    <t>DEPENDENCIAS ASOCIADAS</t>
  </si>
  <si>
    <t>Dirección Jurídica</t>
  </si>
  <si>
    <t>Publicación del plan de gestión aprobado CIGD. Caso HOLA: 23128.</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</si>
  <si>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</si>
  <si>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</si>
  <si>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</si>
  <si>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</si>
  <si>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</si>
  <si>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</si>
  <si>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</si>
  <si>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</si>
  <si>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</si>
  <si>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</si>
  <si>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</si>
  <si>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</si>
  <si>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</si>
  <si>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</si>
  <si>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</si>
  <si>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</si>
  <si>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</si>
  <si>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</si>
  <si>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</si>
  <si>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</si>
  <si>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</si>
  <si>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</si>
  <si>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</si>
  <si>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</si>
  <si>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</si>
  <si>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</si>
  <si>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</si>
  <si>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</si>
  <si>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</si>
  <si>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</si>
  <si>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</si>
  <si>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</si>
  <si>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</si>
  <si>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</si>
  <si>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</si>
  <si>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</si>
  <si>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</si>
  <si>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</si>
  <si>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</si>
  <si>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</si>
  <si>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</si>
  <si>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 xml:space="preserve">Adelantar el 100% de la etapa de juzgamiento de los procesos disciplinarios de los cuales la Oficina de Control Disciplinario Interno ha adelantado previamente la etapa de investigación.
</t>
  </si>
  <si>
    <t>5. Bogotá confía en su gobierno</t>
  </si>
  <si>
    <t>5.32. Gobierno abierto, íntegro, transparente y corresponsable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</si>
  <si>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</si>
  <si>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</si>
  <si>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</si>
  <si>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</si>
  <si>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3.4. Defensa Jurídica</t>
  </si>
  <si>
    <t>Eficacia</t>
  </si>
  <si>
    <t>Porcentaje  de actos administrativos de segunda instancia en materia disciplinaria sustanciados</t>
  </si>
  <si>
    <t>Porcentaje de procesos disciplinarios fallados</t>
  </si>
  <si>
    <t xml:space="preserve"> total de expedientes de procesos disciplinarios fallados en la etapa de juzgamiento / total de fallos/decisiones en procesos disciplinarios allegados de la Oficina de Control Disciplinario Interno</t>
  </si>
  <si>
    <t>Constante</t>
  </si>
  <si>
    <t>Reporte desglosado de actuaciones adelantadas en la etapa de juzgamiento disciplinario</t>
  </si>
  <si>
    <t xml:space="preserve">1.Aplicativo de Gestión Documental.
2. Informe Actos Administrativos de Segunda Instancia en Materia Disciplinaria Sustanciados </t>
  </si>
  <si>
    <t>DJ - Dirección Jurídica</t>
  </si>
  <si>
    <t>Frente a la gestión de la etapa de juzgamiento de expedientes disciplinarios se tuvieron resultados de impacto para la totalidad de expedientes analizados.
Se revisaron 8 expedientes disciplinarios, todos en etapa previa al fallo definitivo, lo que muestra una alta concentración (100%) en fases procesales intermedias. Predominan actuaciones como autos de pruebas, traslados para alegatos, fijación de audiencias y avocación de conocimiento, lo que sugiere una carga operativa enfocada más en trámite que en resolución. 
En términos de impacto, resalta que ningún caso ha culminado con sanción, lo cual puede indicar tiempos prolongados en la toma de decisiones o cuellos de botella en la etapa decisoria. Además, en al menos 3 expedientes (≈37.5%) se ordena la devolución a la Oficina de Control Disciplinario Interno bajo el artículo 225 D de la Ley 1952 de 2019, lo que refleja posibles inconsistencias procedimentales o problemas de competencia.
Cualitativamente, los temas abordados giran alrededor de la gestión procesal disciplinaria (práctica de pruebas, audiencias, alegatos y decisiones de trámite) más que sobre el fondo de las conductas investigadas, lo cual limita la visibilidad sobre patrones de faltas o tipologías de conducta. Como observación crítica, se identifica un riesgo de congestión y dilación procesal, dado que incluso expedientes de 2022 y 2023 siguen sin fallo en 2026, para esto se priorizará el cierre de casos asi como el fortalecimiento de la calidad en la remisión de expedientes para evitar devoluciones y establecer métricas de seguimiento sobre tiempos de decisión para mejorar la eficiencia del sistema.</t>
  </si>
  <si>
    <r>
      <rPr>
        <sz val="11"/>
        <color rgb="FF000000"/>
        <rFont val="Calibri Light"/>
        <scheme val="major"/>
      </rPr>
      <t xml:space="preserve">Matriz de Seguimiento a Procesos Disciplinarios
Cantidad total de expedientes de procesos disciplinarios analizados en la dependencia: 6
Decisiones producidas en procesos disciplinarios: 10
</t>
    </r>
    <r>
      <rPr>
        <b/>
        <i/>
        <sz val="11"/>
        <color rgb="FF000000"/>
        <rFont val="Calibri Light"/>
        <scheme val="major"/>
      </rPr>
      <t xml:space="preserve">Nota OAP: </t>
    </r>
    <r>
      <rPr>
        <i/>
        <sz val="11"/>
        <color rgb="FF000000"/>
        <rFont val="Calibri Light"/>
        <scheme val="major"/>
      </rPr>
      <t>De acuerdo a la evidencia presentada no se visualiza expedientes de procesos disciplinarios fallados en la etapa de juzgamiento, como lo indica el indicador de la meta.</t>
    </r>
  </si>
  <si>
    <t>MT2</t>
  </si>
  <si>
    <t>Representar el 100% de los procesos administrativos, judiciales y extrajudiciales debidamente notificados a la Dirección Jurídica de conformidad con las facultades y en los términos establecidos en la normatividad vigente.</t>
  </si>
  <si>
    <t>Porcentaje de procesos, diligencias y solicitudes de representación judicial y extrajudicial  atendidas</t>
  </si>
  <si>
    <t>Porcentaje de procesos judiciales, extrajudiciales y actuaciones administrativas atendidos</t>
  </si>
  <si>
    <t>Total de procesos atendidos / # de procesos  judiciales, extrajudiciales y administrativos debidamente notificados</t>
  </si>
  <si>
    <t>Reporte trimestral de actuaciones, diligencias y movimientos procesales</t>
  </si>
  <si>
    <t>1.Informes de gestión trimestrales que remiten los abogados.
2.SIPROJ. 
3. Rama Judicial (En los que aplica).
4.Aplicativo de Gestión Documental
5. Outlook</t>
  </si>
  <si>
    <r>
      <rPr>
        <b/>
        <sz val="11"/>
        <color rgb="FF000000"/>
        <rFont val="Calibri Light"/>
        <scheme val="major"/>
      </rPr>
      <t xml:space="preserve">EXTRAJUDICIAL
</t>
    </r>
    <r>
      <rPr>
        <sz val="11"/>
        <color rgb="FF000000"/>
        <rFont val="Calibri Light"/>
        <scheme val="major"/>
      </rPr>
      <t xml:space="preserve">Durante el primer trimestre de 2026, el </t>
    </r>
    <r>
      <rPr>
        <b/>
        <sz val="11"/>
        <color rgb="FF000000"/>
        <rFont val="Calibri Light"/>
        <scheme val="major"/>
      </rPr>
      <t xml:space="preserve">Componente Extrajudicial </t>
    </r>
    <r>
      <rPr>
        <sz val="11"/>
        <color rgb="FF000000"/>
        <rFont val="Calibri Light"/>
        <scheme val="major"/>
      </rPr>
      <t xml:space="preserve">registró 23 actuaciones activas sobre 20 radicados únicos, abarcando el periodo comprendido entre el 14 de enero y el 24 de marzo de 2026. El volumen de gestión se aceleró de manera notable hacia el cierre del trimestre: enero concentró 8 actuaciones, febrero 5, y marzo alcanzó 10, lo que indica una mayor presión operativa en el último mes del período y sugiere que varios casos iniciados en enero y febrero llegaron a etapas decisivas de tramitación simultáneamente.
En cuanto al tipo de acción, las audiencias extrajudiciales son el eje central de la representación, sumando 9 registros (39% del total). Le siguen en relevancia los trámites de poderes (5 registros), las gestiones documentales como solicitudes de antecedentes y pruebas (2), memorandos de coordinación interinstitucional (3 bajo la categoría "Otros"), y la preparación y presentación de fichas de conciliación ante el Comité de Conciliación Institucional (CIC).
La representación extrajudicial no se limita a la asistencia a audiencias, sino que involucra una cadena procedimental completa: preparación técnica del caso, obtención del respaldo institucional vía comité, constitución del poder ante la autoridad competente, y finalmente la asistencia a la diligencia.
Respecto a las entidades ante las cuales se adelantó la representación, la Procuraduría es el principal escenario de actuación: al menos 4 audiencias y diligencias de conciliación se tramitaron ante la Procuraduría Judicial (incluyendo la Procuraduría Sexta Judicial II para Asuntos Administrativos), lo que evidencia que la mayoría de las reclamaciones tienen una connotación administrativa relevante. En paralelo, se identificaron coordinaciones activas con tres Alcaldías Locales — Santa Fe, Teusaquillo y Rafael Uribe Uribe — para la solicitud de antecedentes y pruebas, siendo Teusaquillo la que generó mayor seguimiento dado que requirió un memorando de reiteración al 24 de marzo, sin respuesta confirmada en el período. Asimismo, el caso radicado bajo E-2026-045350 involucra a la entidad CAMACON, y el E-2026-000009 a la Unión Temporal CEDAVIDA ESTRATÉGICA VI, lo que amplía el espectro de contrapartes privadas en el componente.
</t>
    </r>
    <r>
      <rPr>
        <b/>
        <sz val="11"/>
        <color rgb="FF000000"/>
        <rFont val="Calibri Light"/>
        <scheme val="major"/>
      </rPr>
      <t xml:space="preserve">JUDICIAL
</t>
    </r>
    <r>
      <rPr>
        <sz val="11"/>
        <color rgb="FF000000"/>
        <rFont val="Calibri Light"/>
        <scheme val="major"/>
      </rPr>
      <t xml:space="preserve">
A nivel judicial se adelantaron 251 actuaciones procesales sobre 219 radicados únicos, con una aceleración notoria al cierre del trimestre (enero: 47, febrero: 81, marzo: 123). La gestión abarcó contestación de demandas, radicación de poderes, recursos, audiencias penales y administrativas, tutelas, un habeas corpus y estudios de acción de repetición, con cobertura en 12 Alcaldías Locales. Se obtuvieron al menos 5 fallos favorables de primera instancia en controversias contractuales y otros medios de control, notificados formalmente a las localidades de Engativá, Kennedy, Usme, San Cristóbal y Puente Aranda.
En el frente adverso, el trimestre registró dos condenas de impacto económico: una liquidación de perjuicios por $1.073.523.410,57 con responsabilidad del 30% a cargo del Distrito (Alcaldía de Suba), y una sentencia de segunda instancia por $24.909.632 en reparación directa contra la Alcaldía de Usaquén, ambas con cobertura parcial de póliza de La Previsora. Como hito de recuperación del erario, se radicó formalmente la demanda de repetición derivada del proceso 2017-00164 (gestión #1608410), tras múltiples requerimientos a la Alcaldía de Kennedy para la entrega de insumos, cerrando así el ciclo de una condena anterior con una acción concreta de recuperación patrimonial.</t>
    </r>
  </si>
  <si>
    <t>Matriz de Soporte y Seguimiento a Actuaciones Judiciales y Extrajudiciales
Total de procesos atendidos: 46
 # de procesos  judiciales, extrajudiciales y administrativos debidamente notificados: 46
*El contingente judicial actualmente se compone de 563 procesos los cuales han sido atendidos en su totalidad</t>
  </si>
  <si>
    <t>MT3</t>
  </si>
  <si>
    <t>Tramitar el 100% de las tutelas remitidas a la Dirección Jurídica, notificadas o recibidas a través del AGD en los términos establecidos por el juzgado de origen.</t>
  </si>
  <si>
    <t xml:space="preserve">Porcentaje de tutelas tramitadas en los términos otorgados. </t>
  </si>
  <si>
    <t>Porcentaje de tutelas tramitadas en los términos establecidos por el juzgado</t>
  </si>
  <si>
    <t>(# Total de tutelas tramitadas en los términos establecidos por el juzgado  / # Total de tutelas notificadas o recibidas por la Dirección Jurídica) * 100</t>
  </si>
  <si>
    <t>Matriz de asignación, trámite y gestión de Tutelas</t>
  </si>
  <si>
    <t>1: Tabla de Excel 
2. SIPROJ
3. Aplicativo de Gestión Documental 
4. Outlook</t>
  </si>
  <si>
    <t>Durante el período comprendido entre Enero y Marzo se adelantó la gestión de la totalidad de acciones constitucionales interpuestas en contra de la entidad. 
Se recibieron 953 acciones de tutela cuya gestión oportuna ha tenido un impacto altamente concentrado en los derechos más invocados: el derecho de petición (≈37%) y el debido proceso (≈27%), que en conjunto representan cerca de 64% del total. La atención eficaz en estos casos genera beneficios directos como la reducción del riesgo de desacato, el cumplimiento de términos legales y la mejora en la trazabilidad de las actuaciones administrativas. En el caso del derecho de petición, la respuesta oportuna permite evitar sanciones disciplinarias y judiciales, mientras que en debido proceso fortalece la validez jurídica de las decisiones y reduce la probabilidad de nulidades. Incluso en categorías menores como trabajo y mínimo vital (≈1.2%) o vida digna y salud (≈0.8%), la intervención rápida tiene un impacto significativo al prevenir afectaciones económicas o personales de alto costo institucional.
Desde una perspectiva estratégica, la gestión eficiente de estas tutelas contribuye a descongestionar el sistema judicial, mejora la percepción ciudadana y fortalece la confianza en la entidad, al resolver de manera anticipada conflictos que podrían escalar. Además, permite identificar fallas estructurales y corregirlas de forma preventiva, especialmente en los procesos asociados al derecho de petición y al debido proceso, donde se concentra la mayor carga. En términos de beneficio institucional, actuar oportunamente sobre ese ≈64% crítico genera un efecto multiplicador: reduce litigiosidad futura, optimiza recursos y posiciona a la entidad como garante efectivo de derechos fundamentales, más allá de una respuesta reactiva.</t>
  </si>
  <si>
    <t>Matriz de Seguimiento a Acciones Constitucionales</t>
  </si>
  <si>
    <t>MT4</t>
  </si>
  <si>
    <t>Tramitar 100% de solicitudes, como conceptos, derechos de petición y viabilidades jurídicas, solicitados a la Dirección Jurídica que sean competencia del Secretario(a) Distrital de Gobierno</t>
  </si>
  <si>
    <t>Política 3.5. Mejora Normativa</t>
  </si>
  <si>
    <t xml:space="preserve">Porcentaje de respuesta  solicitudes, como conceptos, derechos de petición y viabilidades jurídicas, en los términos establecidos. </t>
  </si>
  <si>
    <t>Porcentaje de solicitudes atendidas  en los términos establecidos por la Ley 1755 de 2015 con respuesta de fondo</t>
  </si>
  <si>
    <t>Total de  solicitudes, como conceptos, derechos de petición y viabilidades jurídicas con respuesta de fondo en los términos establecidos por la Ley 1755 de 2015/ Total de  solicitudes, como conceptos, derechos de petición y viabilidades jurídicas recibidas que sean de competencia de la Dirección  Jurídica</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</si>
  <si>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</si>
  <si>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</si>
  <si>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Durante el período de Enero-Marzo se gestionaron un total de 151 asuntos bajo diversas tipologías (conceptos, decretos y actos administrativos) revela un impacto estratégico que trasciende el simple cumplimiento de metas, consolidándose como el motor de seguridad jurídica de la entidad. El enfoque en temáticas clave como contratación estatal, régimen prestacional y estructura orgánica permite que la gestión administrativa no se detenga, pues cada concepto emitido actúa como un "semáforo en verde" para la ejecución de proyectos de inversión y gasto público. Al gestionar este volumen de expedientes sin reportar sanciones por omisión o mora, el beneficio cualitativo es la construcción de un blindaje jurídico que protege a los ordenadores del gasto y asegura que las decisiones del Secretario Distrital estén alineadas con el marco legal vigente.
El 85% de los casos se concentra en la emisión de conceptos técnicos y la resolución de consultas administrativas complejas. Gestionar proactivamente estos 151 instrumentos normativos genera beneficios tangibles en la eficiencia operativa y la reducción de la litigiosidad. Al resolver dudas técnicas antes de que se conviertan en conflictos judiciales, se ahorran costos millonarios en posibles indemnizaciones y se garantiza la continuidad de la prestación del servicio público. Como observación principal, es vital destacar que esta cantidad de trámites gestionados fortalece la memoria institucional, permitiendo que la Dirección Jurídica se posicione no como una oficina de trámite, sino como un consultor estratégico que facilita el cumplimiento del plan de desarrollo distrital mediante la producción de actos administrativos técnica y jurídicamente irreprochables.</t>
  </si>
  <si>
    <r>
      <rPr>
        <sz val="11"/>
        <color rgb="FF000000"/>
        <rFont val="Calibri Light"/>
        <scheme val="major"/>
      </rPr>
      <t xml:space="preserve">Matriz de Solicitudes de Conceptos y Trazabilidad de revisiones
</t>
    </r>
    <r>
      <rPr>
        <b/>
        <i/>
        <sz val="11"/>
        <color rgb="FF000000"/>
        <rFont val="Calibri Light"/>
        <scheme val="major"/>
      </rPr>
      <t>Nota OAP:</t>
    </r>
    <r>
      <rPr>
        <i/>
        <sz val="11"/>
        <color rgb="FF000000"/>
        <rFont val="Calibri Light"/>
        <scheme val="major"/>
      </rPr>
      <t xml:space="preserve"> De acuerdo a la evidencia presentada durante el período se recibieron 151 solicitudes de conceptos y se dieron tramite 145. El % de ejecución de la meta se calcula conforme al indicador de la misma</t>
    </r>
  </si>
  <si>
    <t>MT5</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</si>
  <si>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</si>
  <si>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</si>
  <si>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Porcentaje de resoluciones de aprobación o negación de aglomeraciones de público emitidas</t>
  </si>
  <si>
    <t>Resoluciones de Aprobación y Negación de aglomeraciones de público / Total de solicitudes  de autorización para la realización de actividades de aglomeración de público recibidas</t>
  </si>
  <si>
    <t>Informe de Autorizaciones de Aglomeraciones de Público</t>
  </si>
  <si>
    <t>1. Aplicativo de Gestión Documental
2. Matriz y detalles de información consolidada sobre las solicitudes de aglomeraciones</t>
  </si>
  <si>
    <t>Para el período de análisis, la gestión de Autorización de Aglomeraciones de público representó un impacto significativo sobre la realización de eventos y espectaculos públicos procesando más de 300 solicitudes. La gestión se concentra mayoritariamente en eventos de tipo Cultural (42%) y Religioso (28%), seguidos por actividades de carácter Político o Social (18%) y otras categorías menores. En cuanto a la distribución por fechas, se observa un incremento progresivo: Enero inició con una carga moderada enfocada en festividades de inicio de año, mientras que Febrero y Marzo presentaron los picos más altos de actividad, coincidiendo con el inicio de la agenda cultural y política de la ciudad. Esta distribución temporal revela una capacidad operativa elástica, capaz de absorber un aumento del 35% en la demanda de servicios de supervisión entre el primer y el tercer mes del año.
Impacto y Beneficios de la Gestión
Gestionar un volumen superior a los 300 eventos en solo tres meses genera un impacto directo en la seguridad ciudadana y el orden público. El principal beneficio radica en la mitigación proactiva de riesgos; mediante la revisión de estos expedientes, se garantiza que cada aglomeración cuente con los planes de contingencia y requisitos legales necesarios, evitando así sanciones a los organizadores y, lo más importante, previniendo incidentes que lamentar. Esta gestión masiva fortalece la confianza en la institucionalidad, demostrando que la entidad puede actuar como un facilitador del ejercicio de derechos (reunión, expresión, culto) bajo un marco de legalidad y protección civil, optimizando el uso del espacio público de manera organizada y segura.</t>
  </si>
  <si>
    <r>
      <rPr>
        <sz val="11"/>
        <color rgb="FF000000"/>
        <rFont val="Calibri Light"/>
        <scheme val="major"/>
      </rPr>
      <t xml:space="preserve">Matriz de seguimiento a Aglomeraciones
</t>
    </r>
    <r>
      <rPr>
        <b/>
        <i/>
        <sz val="11"/>
        <color rgb="FF000000"/>
        <rFont val="Calibri Light"/>
        <scheme val="major"/>
      </rPr>
      <t xml:space="preserve">Nota OAP: </t>
    </r>
    <r>
      <rPr>
        <i/>
        <sz val="11"/>
        <color rgb="FF000000"/>
        <rFont val="Calibri Light"/>
        <scheme val="major"/>
      </rPr>
      <t>De acuerdo a la evidencia presentada durante el período se recibieron 407 solicitudes de aglomeración, de las cuales 253 fueron negadas y 2 autorizadas, 1 anulada y 151 en reposición. El % de ejecución de la meta se calcula conforme al indicador de la misma</t>
    </r>
  </si>
  <si>
    <t>MT6</t>
  </si>
  <si>
    <t>Resolver mediante acto administrativo debidamente motivado el 100% de las solicitudes de autorización, reserva y disponibilidad de uso de la Plaza de Bolívar</t>
  </si>
  <si>
    <t xml:space="preserve">Porcentaje de solicitudes tramitadas en los términos otorgados. </t>
  </si>
  <si>
    <t>Porcentaje de solicitudes tramitadas en los términos establecidos por la norma</t>
  </si>
  <si>
    <t>n/a</t>
  </si>
  <si>
    <t>Total de solicitudes tramitadas en los términos establecidos por la ley/ Total de solicitudes notificadas o recibidas por la Dirección Jurídica</t>
  </si>
  <si>
    <t>Informe de Autorizaciones de Uso- Plaza de Bolívar</t>
  </si>
  <si>
    <t>Bajo el rol de administradores de la Plaza de Bolivar y canalizadores de las solicitudes de disponibilidad y uso de dicho espacio, la gestión de la Dirección Jurídica ha podido identificar que las dinámicas en la Plaza de Bolívar sugieren una marcada predominancia de las movilizaciones sociales, de protesta o expresión ciudadana (≈65%), lo que evidencia que este espacio continúa siendo un punto neurálgico para la manifestación de demandas colectivas, participación política y visibilización de problemáticas sociales. Este tipo de concentraciones tiende a tener un alto impacto institucional y mediático, ya que puede incidir en la agenda pública, generar presión sobre entidades gubernamentales y requerir capacidades robustas de gestión del orden público. En segundo lugar, se identifican actividades de carácter religioso o cultural (≈25%), las cuales aportan a la apropiación simbólica del espacio, fortalecen la identidad colectiva y suelen desarrollarse en un entorno más organizado y de menor conflictividad.
Finalmente, un ≈10% corresponde a actividades artesanales y comerciales, que si bien tienen menor peso relativo, cumplen un rol importante en la dinamización económica informal y en la interacción cotidiana con el espacio público. Desde una perspectiva de impacto, esta distribución sugiere la necesidad de estrategias diferenciadas de gestión: por un lado, mecanismos de diálogo, prevención y acompañamiento para las movilizaciones sociales; por otro, esquemas de articulación institucional para eventos culturales y religiosos; y finalmente, acciones de regulación y formalización progresiva para actividades comerciales. En conjunto, esta tipología permite anticipar riesgos, optimizar recursos operativos y potenciar el uso equilibrado de la Plaza como escenario político, cultural y económico.</t>
  </si>
  <si>
    <r>
      <rPr>
        <sz val="11"/>
        <color rgb="FF000000"/>
        <rFont val="Calibri Light"/>
        <scheme val="major"/>
      </rPr>
      <t xml:space="preserve">Matriz de Seguimiento a Plaza de Bolivar 
</t>
    </r>
    <r>
      <rPr>
        <b/>
        <i/>
        <sz val="11"/>
        <color rgb="FF000000"/>
        <rFont val="Calibri Light"/>
        <scheme val="major"/>
      </rPr>
      <t xml:space="preserve">Nota OAP: </t>
    </r>
    <r>
      <rPr>
        <i/>
        <sz val="11"/>
        <color rgb="FF000000"/>
        <rFont val="Calibri Light"/>
        <scheme val="major"/>
      </rPr>
      <t>De acuerdo a la evidencia presentada durante el período se recibieron 73 solicitudes a las cuales se les dio el trámite correspondiente</t>
    </r>
  </si>
  <si>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</si>
  <si>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</si>
  <si>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</si>
  <si>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</si>
  <si>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</si>
  <si>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</si>
  <si>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</si>
  <si>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</si>
  <si>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</si>
  <si>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</si>
  <si>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</si>
  <si>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</si>
  <si>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"Dirección Jurídica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</si>
  <si>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</si>
  <si>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</si>
  <si>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</si>
  <si>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</si>
  <si>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</si>
  <si>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</si>
  <si>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</si>
  <si>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</si>
  <si>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</si>
  <si>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</si>
  <si>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</si>
  <si>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</si>
  <si>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</si>
  <si>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</si>
  <si>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</si>
  <si>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</si>
  <si>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</si>
  <si>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</si>
  <si>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</si>
  <si>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</si>
  <si>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</si>
  <si>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</si>
  <si>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1 de 1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</si>
  <si>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</si>
  <si>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</si>
  <si>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</si>
  <si>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</si>
  <si>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</si>
  <si>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</si>
  <si>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</si>
  <si>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14 de 14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</si>
  <si>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</si>
  <si>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</si>
  <si>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</si>
  <si>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</si>
  <si>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</si>
  <si>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</si>
  <si>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</si>
  <si>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</si>
  <si>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</si>
  <si>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</si>
  <si>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</si>
  <si>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</si>
  <si>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</si>
  <si>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</si>
  <si>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</si>
  <si>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</si>
  <si>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</si>
  <si>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</si>
  <si>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</si>
  <si>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</si>
  <si>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</si>
  <si>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</si>
  <si>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</si>
  <si>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</si>
  <si>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</si>
  <si>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</si>
  <si>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</si>
  <si>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</si>
  <si>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</si>
  <si>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</si>
  <si>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</si>
  <si>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</si>
  <si>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</si>
  <si>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</si>
  <si>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</si>
  <si>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</si>
  <si>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</si>
  <si>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</si>
  <si>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</si>
  <si>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</si>
  <si>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</si>
  <si>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</si>
  <si>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</si>
  <si>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</si>
  <si>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</si>
  <si>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</si>
  <si>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</si>
  <si>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</si>
  <si>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</si>
  <si>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</si>
  <si>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</si>
  <si>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</si>
  <si>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</si>
  <si>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</si>
  <si>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</si>
  <si>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</si>
  <si>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</si>
  <si>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</si>
  <si>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</si>
  <si>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</si>
  <si>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</si>
  <si>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</si>
  <si>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</si>
  <si>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</si>
  <si>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</si>
  <si>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</si>
  <si>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</si>
  <si>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</si>
  <si>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</si>
  <si>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</si>
  <si>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</si>
  <si>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</si>
  <si>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</si>
  <si>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</si>
  <si>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</si>
  <si>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</si>
  <si>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</si>
  <si>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</si>
  <si>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</si>
  <si>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</si>
  <si>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</si>
  <si>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</si>
  <si>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</si>
  <si>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</si>
  <si>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</si>
  <si>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</si>
  <si>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</si>
  <si>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</si>
  <si>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</si>
  <si>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</si>
  <si>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</si>
  <si>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</si>
  <si>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</si>
  <si>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</si>
  <si>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</si>
  <si>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</si>
  <si>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</si>
  <si>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</si>
  <si>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</si>
  <si>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</si>
  <si>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</si>
  <si>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</si>
  <si>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</si>
  <si>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</si>
  <si>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</si>
  <si>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</si>
  <si>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</si>
  <si>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</si>
  <si>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</si>
  <si>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</si>
  <si>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</si>
  <si>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</si>
  <si>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</si>
  <si>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</si>
  <si>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</si>
  <si>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</si>
  <si>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</si>
  <si>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</si>
  <si>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</si>
  <si>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</si>
  <si>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</si>
  <si>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</si>
  <si>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</si>
  <si>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</si>
  <si>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</si>
  <si>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</si>
  <si>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</si>
  <si>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</si>
  <si>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</si>
  <si>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</si>
  <si>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</si>
  <si>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</si>
  <si>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</si>
  <si>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</si>
  <si>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</si>
  <si>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</si>
  <si>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</si>
  <si>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</si>
  <si>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</si>
  <si>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</si>
  <si>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</si>
  <si>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</si>
  <si>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</si>
  <si>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</si>
  <si>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</si>
  <si>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</si>
  <si>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</si>
  <si>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</si>
  <si>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</si>
  <si>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</si>
  <si>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</si>
  <si>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</si>
  <si>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</si>
  <si>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</si>
  <si>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</si>
  <si>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</si>
  <si>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</si>
  <si>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</si>
  <si>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</si>
  <si>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</si>
  <si>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</si>
  <si>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</si>
  <si>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Publucación del seguimiento con corte a 31/03/2026. Para el primer trimestre de la vigencia 2026, el Plan de Gestión Juridica  alcanzó un nivel de desempeño del 81,16% y 21,96%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</si>
</sst>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scheme val="major"/>
    </font>
    <font>
      <sz val="11"/>
      <color rgb="FF000000"/>
      <name val="Calibri Light"/>
      <scheme val="major"/>
    </font>
    <font>
      <b/>
      <sz val="11"/>
      <color rgb="FF000000"/>
      <name val="Calibri Light"/>
      <scheme val="major"/>
    </font>
    <font>
      <sz val="11"/>
      <color rgb="FF002060"/>
      <name val="Calibri Light"/>
      <family val="2"/>
    </font>
    <font>
      <b/>
      <i/>
      <sz val="11"/>
      <color rgb="FF000000"/>
      <name val="Calibri Light"/>
      <scheme val="major"/>
    </font>
    <font>
      <i/>
      <sz val="11"/>
      <color rgb="FF000000"/>
      <name val="Calibri Light"/>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10" fontId="5" fillId="7" borderId="1" xfId="1" applyNumberFormat="1" applyFont="1" applyFill="1" applyBorder="1" applyAlignment="1">
      <alignment horizontal="center" wrapText="1"/>
    </xf>
    <xf numFmtId="0" fontId="24" fillId="0" borderId="1" xfId="0" applyFont="1" applyBorder="1" applyAlignment="1">
      <alignment horizontal="justify" vertical="center" wrapText="1"/>
    </xf>
    <xf numFmtId="0" fontId="11" fillId="14" borderId="1" xfId="0" applyFont="1" applyFill="1" applyBorder="1" applyAlignment="1">
      <alignment horizontal="center" vertical="center" wrapText="1"/>
    </xf>
    <xf numFmtId="0" fontId="1" fillId="0" borderId="1" xfId="0" applyFont="1" applyBorder="1" applyAlignment="1">
      <alignment horizontal="left" vertical="center" wrapText="1"/>
    </xf>
    <xf numFmtId="14" fontId="1" fillId="4" borderId="1" xfId="0" applyNumberFormat="1" applyFont="1" applyFill="1" applyBorder="1" applyAlignment="1">
      <alignment horizontal="center" vertical="center" wrapText="1"/>
    </xf>
    <xf numFmtId="0" fontId="25" fillId="0" borderId="1" xfId="0" applyFont="1" applyBorder="1" applyAlignment="1">
      <alignment horizontal="left" vertical="top" wrapText="1"/>
    </xf>
    <xf numFmtId="1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 fontId="5" fillId="7" borderId="1" xfId="1" applyNumberFormat="1" applyFont="1" applyFill="1" applyBorder="1" applyAlignment="1">
      <alignment horizontal="center" wrapText="1"/>
    </xf>
    <xf numFmtId="164"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0" fontId="19" fillId="7" borderId="1" xfId="1"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165" fontId="1" fillId="0" borderId="1" xfId="1" applyNumberFormat="1" applyFont="1" applyBorder="1" applyAlignment="1">
      <alignment horizontal="center" vertical="center" wrapText="1"/>
    </xf>
    <xf numFmtId="0" fontId="27" fillId="0" borderId="1" xfId="0" applyFont="1" applyBorder="1" applyAlignment="1">
      <alignment horizontal="justify" vertical="center" wrapText="1"/>
    </xf>
    <xf numFmtId="9"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9" fontId="18" fillId="0" borderId="1" xfId="1" applyFont="1" applyBorder="1" applyAlignment="1">
      <alignment horizontal="center" vertical="center" wrapText="1"/>
    </xf>
    <xf numFmtId="10" fontId="18" fillId="0" borderId="1" xfId="1" applyNumberFormat="1" applyFont="1" applyBorder="1" applyAlignment="1">
      <alignment horizontal="center" vertical="center" wrapText="1"/>
    </xf>
    <xf numFmtId="0" fontId="25" fillId="0" borderId="0" xfId="0" applyFont="1" applyAlignment="1">
      <alignment horizontal="justify" vertical="center" wrapText="1"/>
    </xf>
    <xf numFmtId="0" fontId="30" fillId="0" borderId="1" xfId="0" applyFont="1" applyBorder="1" applyAlignment="1">
      <alignment vertical="center" wrapText="1"/>
    </xf>
    <xf numFmtId="0" fontId="25" fillId="0" borderId="1" xfId="0" applyFont="1" applyBorder="1" applyAlignment="1">
      <alignment horizontal="justify" vertical="center" wrapText="1"/>
    </xf>
    <xf numFmtId="9" fontId="11" fillId="0" borderId="1" xfId="0" applyNumberFormat="1" applyFont="1" applyBorder="1" applyAlignment="1">
      <alignment horizontal="center" vertical="center" wrapText="1"/>
    </xf>
    <xf numFmtId="0" fontId="5" fillId="7" borderId="1" xfId="0" applyFont="1" applyFill="1" applyBorder="1" applyAlignment="1">
      <alignment horizontal="center" wrapText="1"/>
    </xf>
    <xf numFmtId="0" fontId="17" fillId="4" borderId="1" xfId="0" applyFont="1" applyFill="1" applyBorder="1" applyAlignment="1" applyProtection="1">
      <alignment horizontal="center" vertical="center" wrapText="1"/>
      <protection locked="0"/>
    </xf>
    <xf numFmtId="0" fontId="17" fillId="4" borderId="1" xfId="0" applyFont="1" applyFill="1" applyBorder="1" applyAlignment="1">
      <alignment horizontal="center" vertical="center" wrapText="1"/>
    </xf>
    <xf numFmtId="0" fontId="19" fillId="7" borderId="1" xfId="0" applyFont="1" applyFill="1" applyBorder="1" applyAlignment="1">
      <alignment horizontal="center" wrapText="1"/>
    </xf>
    <xf numFmtId="0" fontId="7" fillId="8" borderId="1" xfId="0" applyFont="1" applyFill="1" applyBorder="1" applyAlignment="1">
      <alignment horizontal="center" wrapText="1"/>
    </xf>
    <xf numFmtId="165" fontId="18" fillId="0" borderId="1" xfId="0"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xf numFmtId="9" fontId="1" fillId="0" borderId="0" xfId="1" applyFont="1" applyAlignment="1">
      <alignment horizontal="justify"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3"/>
  <sheetViews>
    <sheetView tabSelected="1" topLeftCell="F11" zoomScaleNormal="100" workbookViewId="0">
      <selection activeCell="H7" sqref="H7:I7"/>
    </sheetView>
  </sheetViews>
  <sheetFormatPr baseColWidth="10" defaultColWidth="9.14062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2" width="21.42578125" style="1" customWidth="1"/>
    <col min="13" max="13" width="21.42578125" style="84" customWidth="1"/>
    <col min="14" max="15" width="21.42578125" style="1" customWidth="1"/>
    <col min="16" max="19" width="10" style="1" customWidth="1"/>
    <col min="20" max="20" width="14.28515625" style="1" customWidth="1"/>
    <col min="21" max="24" width="21.42578125" style="1" hidden="1" customWidth="1"/>
    <col min="25" max="27" width="14.28515625" style="84" customWidth="1"/>
    <col min="28" max="28" width="66.4257812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84" customWidth="1"/>
    <col min="48" max="49" width="16.5703125" style="1" customWidth="1"/>
    <col min="50" max="50" width="39.42578125" style="1" customWidth="1"/>
    <col min="51" max="16384" width="9.140625" style="1"/>
  </cols>
  <sheetData>
    <row r="1" spans="1:47" s="7" customFormat="1" ht="61.5" customHeight="1" x14ac:dyDescent="0.25">
      <c r="A1" s="117" t="s">
        <v>0</v>
      </c>
      <c r="B1" s="118"/>
      <c r="C1" s="118"/>
      <c r="D1" s="118"/>
      <c r="E1" s="118"/>
      <c r="F1" s="118"/>
      <c r="G1" s="118"/>
      <c r="H1" s="119"/>
      <c r="I1" s="15" t="s">
        <v>1</v>
      </c>
      <c r="M1" s="72"/>
      <c r="Y1" s="72"/>
      <c r="Z1" s="72"/>
      <c r="AA1" s="72"/>
      <c r="AS1" s="72"/>
      <c r="AT1" s="72"/>
      <c r="AU1" s="72"/>
    </row>
    <row r="2" spans="1:47" s="9" customFormat="1" x14ac:dyDescent="0.25">
      <c r="A2" s="17"/>
      <c r="B2" s="18"/>
      <c r="C2" s="18"/>
      <c r="D2" s="18"/>
      <c r="E2" s="16"/>
      <c r="F2" s="16"/>
      <c r="G2" s="16"/>
      <c r="H2" s="16"/>
      <c r="I2" s="16"/>
      <c r="J2" s="16"/>
      <c r="K2" s="16"/>
      <c r="L2" s="16"/>
      <c r="M2" s="16"/>
      <c r="N2" s="16"/>
      <c r="O2" s="16"/>
      <c r="P2" s="16"/>
      <c r="Q2" s="8"/>
      <c r="R2" s="8"/>
      <c r="S2" s="8"/>
      <c r="T2" s="8"/>
      <c r="Y2" s="73"/>
      <c r="Z2" s="73"/>
      <c r="AA2" s="73"/>
      <c r="AS2" s="73"/>
      <c r="AT2" s="73"/>
      <c r="AU2" s="73"/>
    </row>
    <row r="3" spans="1:47" s="7" customFormat="1" ht="15" customHeight="1" x14ac:dyDescent="0.25">
      <c r="A3" s="145" t="s">
        <v>2</v>
      </c>
      <c r="B3" s="145"/>
      <c r="C3" s="150" t="s">
        <v>3</v>
      </c>
      <c r="D3" s="150"/>
      <c r="F3" s="136" t="s">
        <v>4</v>
      </c>
      <c r="G3" s="146"/>
      <c r="H3" s="146"/>
      <c r="I3" s="137"/>
      <c r="M3" s="72"/>
      <c r="Y3" s="72"/>
      <c r="Z3" s="72"/>
      <c r="AA3" s="72"/>
      <c r="AS3" s="72"/>
      <c r="AT3" s="72"/>
      <c r="AU3" s="72"/>
    </row>
    <row r="4" spans="1:47" s="7" customFormat="1" ht="15" customHeight="1" x14ac:dyDescent="0.25">
      <c r="A4" s="145"/>
      <c r="B4" s="145"/>
      <c r="C4" s="150"/>
      <c r="D4" s="150"/>
      <c r="F4" s="20" t="s">
        <v>5</v>
      </c>
      <c r="G4" s="21" t="s">
        <v>6</v>
      </c>
      <c r="H4" s="136" t="s">
        <v>7</v>
      </c>
      <c r="I4" s="137"/>
      <c r="M4" s="72"/>
      <c r="Y4" s="72"/>
      <c r="Z4" s="72"/>
      <c r="AA4" s="72"/>
      <c r="AS4" s="72"/>
      <c r="AT4" s="72"/>
      <c r="AU4" s="72"/>
    </row>
    <row r="5" spans="1:47" s="7" customFormat="1" ht="15" customHeight="1" x14ac:dyDescent="0.25">
      <c r="A5" s="145" t="s">
        <v>8</v>
      </c>
      <c r="B5" s="145"/>
      <c r="C5" s="150" t="s">
        <v>9</v>
      </c>
      <c r="D5" s="150"/>
      <c r="F5" s="10">
        <v>1</v>
      </c>
      <c r="G5" s="68">
        <v>46050</v>
      </c>
      <c r="H5" s="134" t="s">
        <v>10</v>
      </c>
      <c r="I5" s="135"/>
      <c r="M5" s="72"/>
      <c r="Y5" s="72"/>
      <c r="Z5" s="72"/>
      <c r="AA5" s="72"/>
      <c r="AS5" s="72"/>
      <c r="AT5" s="72"/>
      <c r="AU5" s="72"/>
    </row>
    <row r="6" spans="1:47" s="7" customFormat="1" ht="39.75" customHeight="1" x14ac:dyDescent="0.25">
      <c r="A6" s="145"/>
      <c r="B6" s="145"/>
      <c r="C6" s="150"/>
      <c r="D6" s="150"/>
      <c r="F6" s="10">
        <v>2</v>
      </c>
      <c r="G6" s="68">
        <v>46150</v>
      </c>
      <c r="H6" s="134" t="s">
        <v>322</v>
      </c>
      <c r="I6" s="135"/>
      <c r="M6" s="72"/>
      <c r="Y6" s="72"/>
      <c r="Z6" s="72"/>
      <c r="AA6" s="72"/>
      <c r="AS6" s="72"/>
      <c r="AT6" s="72"/>
      <c r="AU6" s="72"/>
    </row>
    <row r="7" spans="1:47" s="7" customFormat="1" x14ac:dyDescent="0.25">
      <c r="A7" s="145" t="s">
        <v>11</v>
      </c>
      <c r="B7" s="145"/>
      <c r="C7" s="150">
        <v>2026</v>
      </c>
      <c r="D7" s="150"/>
      <c r="F7" s="10"/>
      <c r="G7" s="10"/>
      <c r="H7" s="134"/>
      <c r="I7" s="135"/>
      <c r="M7" s="72"/>
      <c r="Y7" s="72"/>
      <c r="Z7" s="72"/>
      <c r="AA7" s="72"/>
      <c r="AS7" s="72"/>
      <c r="AT7" s="72"/>
      <c r="AU7" s="72"/>
    </row>
    <row r="8" spans="1:47" s="7" customFormat="1" x14ac:dyDescent="0.25">
      <c r="M8" s="72"/>
      <c r="Y8" s="72"/>
      <c r="Z8" s="72"/>
      <c r="AA8" s="72"/>
      <c r="AS8" s="72"/>
      <c r="AT8" s="72"/>
      <c r="AU8" s="72"/>
    </row>
    <row r="9" spans="1:47" ht="37.5" customHeight="1" x14ac:dyDescent="0.25">
      <c r="A9" s="136" t="s">
        <v>12</v>
      </c>
      <c r="B9" s="137"/>
      <c r="C9" s="145" t="s">
        <v>13</v>
      </c>
      <c r="D9" s="145"/>
      <c r="E9" s="145"/>
      <c r="F9" s="143" t="s">
        <v>14</v>
      </c>
      <c r="G9" s="143" t="s">
        <v>15</v>
      </c>
      <c r="H9" s="136" t="s">
        <v>16</v>
      </c>
      <c r="I9" s="137"/>
      <c r="J9" s="138" t="s">
        <v>17</v>
      </c>
      <c r="K9" s="139"/>
      <c r="L9" s="139"/>
      <c r="M9" s="139"/>
      <c r="N9" s="139"/>
      <c r="O9" s="140" t="s">
        <v>18</v>
      </c>
      <c r="P9" s="141"/>
      <c r="Q9" s="141"/>
      <c r="R9" s="141"/>
      <c r="S9" s="141"/>
      <c r="T9" s="142"/>
      <c r="U9" s="147" t="s">
        <v>19</v>
      </c>
      <c r="V9" s="148"/>
      <c r="W9" s="148"/>
      <c r="X9" s="149"/>
      <c r="Y9" s="131" t="s">
        <v>20</v>
      </c>
      <c r="Z9" s="132"/>
      <c r="AA9" s="132"/>
      <c r="AB9" s="132"/>
      <c r="AC9" s="133"/>
      <c r="AD9" s="128" t="s">
        <v>21</v>
      </c>
      <c r="AE9" s="129"/>
      <c r="AF9" s="129"/>
      <c r="AG9" s="129"/>
      <c r="AH9" s="130"/>
      <c r="AI9" s="125" t="s">
        <v>22</v>
      </c>
      <c r="AJ9" s="126"/>
      <c r="AK9" s="126"/>
      <c r="AL9" s="126"/>
      <c r="AM9" s="127"/>
      <c r="AN9" s="122" t="s">
        <v>23</v>
      </c>
      <c r="AO9" s="123"/>
      <c r="AP9" s="123"/>
      <c r="AQ9" s="123"/>
      <c r="AR9" s="124"/>
      <c r="AS9" s="120" t="s">
        <v>24</v>
      </c>
      <c r="AT9" s="121"/>
      <c r="AU9" s="121"/>
    </row>
    <row r="10" spans="1:47" s="29" customFormat="1" ht="25.5" x14ac:dyDescent="0.2">
      <c r="A10" s="34" t="s">
        <v>25</v>
      </c>
      <c r="B10" s="34" t="s">
        <v>26</v>
      </c>
      <c r="C10" s="34" t="s">
        <v>27</v>
      </c>
      <c r="D10" s="34" t="s">
        <v>28</v>
      </c>
      <c r="E10" s="34" t="s">
        <v>29</v>
      </c>
      <c r="F10" s="144"/>
      <c r="G10" s="144"/>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409.5" x14ac:dyDescent="0.25">
      <c r="A11" s="5" t="s">
        <v>51</v>
      </c>
      <c r="B11" s="4" t="s">
        <v>52</v>
      </c>
      <c r="C11" s="51" t="s">
        <v>53</v>
      </c>
      <c r="D11" s="13" t="s">
        <v>54</v>
      </c>
      <c r="E11" s="13" t="s">
        <v>55</v>
      </c>
      <c r="F11" s="13" t="s">
        <v>56</v>
      </c>
      <c r="G11" s="62" t="s">
        <v>57</v>
      </c>
      <c r="H11" s="13" t="s">
        <v>58</v>
      </c>
      <c r="I11" s="13" t="s">
        <v>59</v>
      </c>
      <c r="J11" s="14" t="s">
        <v>60</v>
      </c>
      <c r="K11" s="62" t="s">
        <v>61</v>
      </c>
      <c r="L11" s="62" t="s">
        <v>62</v>
      </c>
      <c r="M11" s="95">
        <v>1</v>
      </c>
      <c r="N11" s="65" t="s">
        <v>63</v>
      </c>
      <c r="O11" s="14" t="s">
        <v>64</v>
      </c>
      <c r="P11" s="56">
        <v>1</v>
      </c>
      <c r="Q11" s="56">
        <v>1</v>
      </c>
      <c r="R11" s="56">
        <v>1</v>
      </c>
      <c r="S11" s="56">
        <v>1</v>
      </c>
      <c r="T11" s="56">
        <f t="shared" ref="T11:T16" si="0">AVERAGE(P11:S11)</f>
        <v>1</v>
      </c>
      <c r="U11" s="4" t="s">
        <v>65</v>
      </c>
      <c r="V11" s="62" t="s">
        <v>66</v>
      </c>
      <c r="W11" s="12" t="s">
        <v>67</v>
      </c>
      <c r="X11" s="12" t="s">
        <v>67</v>
      </c>
      <c r="Y11" s="71">
        <f>P11</f>
        <v>1</v>
      </c>
      <c r="Z11" s="71">
        <f>0/10</f>
        <v>0</v>
      </c>
      <c r="AA11" s="70">
        <f t="shared" ref="AA11:AA16" si="1">IFERROR(IF(Z11/Y11&gt;1,1,Z11/Y11),0)</f>
        <v>0</v>
      </c>
      <c r="AB11" s="69" t="s">
        <v>68</v>
      </c>
      <c r="AC11" s="92" t="s">
        <v>69</v>
      </c>
      <c r="AD11" s="56">
        <f>Q11</f>
        <v>1</v>
      </c>
      <c r="AE11" s="57"/>
      <c r="AF11" s="41">
        <f t="shared" ref="AF11:AF16" si="2">IFERROR(IF(AE11/AD11&gt;1,1,AE11/AD11),0)</f>
        <v>0</v>
      </c>
      <c r="AG11" s="4"/>
      <c r="AH11" s="4"/>
      <c r="AI11" s="56">
        <f>R11</f>
        <v>1</v>
      </c>
      <c r="AJ11" s="57"/>
      <c r="AK11" s="41">
        <f t="shared" ref="AK11:AK15" si="3">IFERROR(IF(AJ11/AI11&gt;1,1,AJ11/AI11),0)</f>
        <v>0</v>
      </c>
      <c r="AL11" s="4"/>
      <c r="AM11" s="4"/>
      <c r="AN11" s="56">
        <f>S11</f>
        <v>1</v>
      </c>
      <c r="AO11" s="57"/>
      <c r="AP11" s="41">
        <f t="shared" ref="AP11:AP15" si="4">IFERROR(IF(AO11/AN11&gt;1,1,AO11/AN11),0)</f>
        <v>0</v>
      </c>
      <c r="AQ11" s="4"/>
      <c r="AR11" s="4"/>
      <c r="AS11" s="87">
        <f>T11</f>
        <v>1</v>
      </c>
      <c r="AT11" s="88">
        <f>IFERROR(AVERAGE(Z11,AE11,AJ11,AO11)*0.25,0)</f>
        <v>0</v>
      </c>
      <c r="AU11" s="89">
        <f t="shared" ref="AU11:AU16" si="5">IFERROR(IF(AT11/AS11&gt;1,1,AT11/AS11),0)</f>
        <v>0</v>
      </c>
    </row>
    <row r="12" spans="1:47" s="6" customFormat="1" ht="409.5" x14ac:dyDescent="0.25">
      <c r="A12" s="66" t="s">
        <v>70</v>
      </c>
      <c r="B12" s="65" t="s">
        <v>71</v>
      </c>
      <c r="C12" s="51" t="s">
        <v>53</v>
      </c>
      <c r="D12" s="13" t="s">
        <v>54</v>
      </c>
      <c r="E12" s="13" t="s">
        <v>55</v>
      </c>
      <c r="F12" s="13" t="s">
        <v>56</v>
      </c>
      <c r="G12" s="62" t="s">
        <v>57</v>
      </c>
      <c r="H12" s="13" t="s">
        <v>58</v>
      </c>
      <c r="I12" s="13" t="s">
        <v>59</v>
      </c>
      <c r="J12" s="14" t="s">
        <v>60</v>
      </c>
      <c r="K12" s="65" t="s">
        <v>72</v>
      </c>
      <c r="L12" s="65" t="s">
        <v>73</v>
      </c>
      <c r="M12" s="95">
        <v>1</v>
      </c>
      <c r="N12" s="62" t="s">
        <v>74</v>
      </c>
      <c r="O12" s="14" t="s">
        <v>64</v>
      </c>
      <c r="P12" s="56">
        <v>1</v>
      </c>
      <c r="Q12" s="56">
        <v>1</v>
      </c>
      <c r="R12" s="56">
        <v>1</v>
      </c>
      <c r="S12" s="56">
        <v>1</v>
      </c>
      <c r="T12" s="56">
        <f t="shared" si="0"/>
        <v>1</v>
      </c>
      <c r="U12" s="4" t="s">
        <v>75</v>
      </c>
      <c r="V12" s="62" t="s">
        <v>76</v>
      </c>
      <c r="W12" s="12" t="s">
        <v>67</v>
      </c>
      <c r="X12" s="12" t="s">
        <v>67</v>
      </c>
      <c r="Y12" s="71">
        <f t="shared" ref="Y12:Y16" si="6">P12</f>
        <v>1</v>
      </c>
      <c r="Z12" s="71">
        <f>609/609</f>
        <v>1</v>
      </c>
      <c r="AA12" s="70">
        <f t="shared" si="1"/>
        <v>1</v>
      </c>
      <c r="AB12" s="69" t="s">
        <v>77</v>
      </c>
      <c r="AC12" s="4" t="s">
        <v>78</v>
      </c>
      <c r="AD12" s="56">
        <f t="shared" ref="AD12:AD16" si="7">Q12</f>
        <v>1</v>
      </c>
      <c r="AE12" s="57"/>
      <c r="AF12" s="41">
        <f t="shared" si="2"/>
        <v>0</v>
      </c>
      <c r="AG12" s="4"/>
      <c r="AH12" s="4"/>
      <c r="AI12" s="56">
        <f t="shared" ref="AI12:AI15" si="8">R12</f>
        <v>1</v>
      </c>
      <c r="AJ12" s="57"/>
      <c r="AK12" s="41">
        <f t="shared" si="3"/>
        <v>0</v>
      </c>
      <c r="AL12" s="4"/>
      <c r="AM12" s="4"/>
      <c r="AN12" s="56">
        <f t="shared" ref="AN12:AN15" si="9">S12</f>
        <v>1</v>
      </c>
      <c r="AO12" s="57"/>
      <c r="AP12" s="41">
        <f t="shared" si="4"/>
        <v>0</v>
      </c>
      <c r="AQ12" s="4"/>
      <c r="AR12" s="4"/>
      <c r="AS12" s="87">
        <f t="shared" ref="AS12:AS15" si="10">T12</f>
        <v>1</v>
      </c>
      <c r="AT12" s="152">
        <f>IFERROR(AVERAGE(Z13,AE13,AJ13,AO13)*0.25,0)</f>
        <v>0.25</v>
      </c>
      <c r="AU12" s="89">
        <f>IFERROR(IF(AT13/AS12&gt;1,1,AT13/AS12),0)</f>
        <v>0.25</v>
      </c>
    </row>
    <row r="13" spans="1:47" s="6" customFormat="1" ht="409.5" x14ac:dyDescent="0.25">
      <c r="A13" s="66" t="s">
        <v>79</v>
      </c>
      <c r="B13" s="62" t="s">
        <v>80</v>
      </c>
      <c r="C13" s="51" t="s">
        <v>53</v>
      </c>
      <c r="D13" s="13" t="s">
        <v>54</v>
      </c>
      <c r="E13" s="13" t="s">
        <v>55</v>
      </c>
      <c r="F13" s="13" t="s">
        <v>56</v>
      </c>
      <c r="G13" s="62" t="s">
        <v>57</v>
      </c>
      <c r="H13" s="13" t="s">
        <v>58</v>
      </c>
      <c r="I13" s="13" t="s">
        <v>59</v>
      </c>
      <c r="J13" s="14" t="s">
        <v>60</v>
      </c>
      <c r="K13" s="62" t="s">
        <v>81</v>
      </c>
      <c r="L13" s="62" t="s">
        <v>82</v>
      </c>
      <c r="M13" s="95">
        <v>1</v>
      </c>
      <c r="N13" s="62" t="s">
        <v>83</v>
      </c>
      <c r="O13" s="14" t="s">
        <v>64</v>
      </c>
      <c r="P13" s="56">
        <v>1</v>
      </c>
      <c r="Q13" s="56">
        <v>1</v>
      </c>
      <c r="R13" s="56">
        <v>1</v>
      </c>
      <c r="S13" s="56">
        <v>1</v>
      </c>
      <c r="T13" s="56">
        <f t="shared" si="0"/>
        <v>1</v>
      </c>
      <c r="U13" s="4" t="s">
        <v>84</v>
      </c>
      <c r="V13" s="62" t="s">
        <v>85</v>
      </c>
      <c r="W13" s="12" t="s">
        <v>67</v>
      </c>
      <c r="X13" s="12" t="s">
        <v>67</v>
      </c>
      <c r="Y13" s="71">
        <f t="shared" si="6"/>
        <v>1</v>
      </c>
      <c r="Z13" s="71">
        <f>953/953</f>
        <v>1</v>
      </c>
      <c r="AA13" s="70">
        <f t="shared" si="1"/>
        <v>1</v>
      </c>
      <c r="AB13" s="4" t="s">
        <v>86</v>
      </c>
      <c r="AC13" s="93" t="s">
        <v>87</v>
      </c>
      <c r="AD13" s="56">
        <f t="shared" si="7"/>
        <v>1</v>
      </c>
      <c r="AE13" s="57"/>
      <c r="AF13" s="41">
        <f t="shared" si="2"/>
        <v>0</v>
      </c>
      <c r="AG13" s="4"/>
      <c r="AH13" s="4"/>
      <c r="AI13" s="56">
        <f t="shared" si="8"/>
        <v>1</v>
      </c>
      <c r="AJ13" s="57"/>
      <c r="AK13" s="41">
        <f t="shared" si="3"/>
        <v>0</v>
      </c>
      <c r="AL13" s="4"/>
      <c r="AM13" s="4"/>
      <c r="AN13" s="56">
        <f t="shared" si="9"/>
        <v>1</v>
      </c>
      <c r="AO13" s="57"/>
      <c r="AP13" s="41">
        <f t="shared" si="4"/>
        <v>0</v>
      </c>
      <c r="AQ13" s="4"/>
      <c r="AR13" s="4"/>
      <c r="AS13" s="87">
        <f t="shared" si="10"/>
        <v>1</v>
      </c>
      <c r="AT13" s="88">
        <f>IFERROR(AVERAGE(Z12,AE12,AJ12,AO12)*0.25,0)</f>
        <v>0.25</v>
      </c>
      <c r="AU13" s="89">
        <f>IFERROR(IF(#REF!/AS13&gt;1,1,#REF!/AS13),0)</f>
        <v>0</v>
      </c>
    </row>
    <row r="14" spans="1:47" s="6" customFormat="1" ht="405" x14ac:dyDescent="0.25">
      <c r="A14" s="66" t="s">
        <v>88</v>
      </c>
      <c r="B14" s="62" t="s">
        <v>89</v>
      </c>
      <c r="C14" s="51" t="s">
        <v>53</v>
      </c>
      <c r="D14" s="13" t="s">
        <v>54</v>
      </c>
      <c r="E14" s="13" t="s">
        <v>55</v>
      </c>
      <c r="F14" s="13" t="s">
        <v>56</v>
      </c>
      <c r="G14" s="62" t="s">
        <v>57</v>
      </c>
      <c r="H14" s="13" t="s">
        <v>58</v>
      </c>
      <c r="I14" s="13" t="s">
        <v>90</v>
      </c>
      <c r="J14" s="14" t="s">
        <v>60</v>
      </c>
      <c r="K14" s="62" t="s">
        <v>91</v>
      </c>
      <c r="L14" s="62" t="s">
        <v>92</v>
      </c>
      <c r="M14" s="95">
        <v>1</v>
      </c>
      <c r="N14" s="62" t="s">
        <v>93</v>
      </c>
      <c r="O14" s="14" t="s">
        <v>64</v>
      </c>
      <c r="P14" s="56">
        <v>1</v>
      </c>
      <c r="Q14" s="56">
        <v>1</v>
      </c>
      <c r="R14" s="56">
        <v>1</v>
      </c>
      <c r="S14" s="56">
        <v>1</v>
      </c>
      <c r="T14" s="56">
        <f t="shared" si="0"/>
        <v>1</v>
      </c>
      <c r="U14" s="4" t="s">
        <v>94</v>
      </c>
      <c r="V14" s="62" t="s">
        <v>95</v>
      </c>
      <c r="W14" s="12" t="s">
        <v>67</v>
      </c>
      <c r="X14" s="12" t="s">
        <v>67</v>
      </c>
      <c r="Y14" s="71">
        <f t="shared" si="6"/>
        <v>1</v>
      </c>
      <c r="Z14" s="85">
        <f>145/151</f>
        <v>0.96026490066225167</v>
      </c>
      <c r="AA14" s="85">
        <f t="shared" si="1"/>
        <v>0.96026490066225167</v>
      </c>
      <c r="AB14" s="4" t="s">
        <v>96</v>
      </c>
      <c r="AC14" s="94" t="s">
        <v>97</v>
      </c>
      <c r="AD14" s="56">
        <f t="shared" si="7"/>
        <v>1</v>
      </c>
      <c r="AE14" s="56"/>
      <c r="AF14" s="41">
        <f t="shared" si="2"/>
        <v>0</v>
      </c>
      <c r="AG14" s="4"/>
      <c r="AH14" s="4"/>
      <c r="AI14" s="56">
        <f t="shared" si="8"/>
        <v>1</v>
      </c>
      <c r="AJ14" s="56"/>
      <c r="AK14" s="41">
        <f t="shared" si="3"/>
        <v>0</v>
      </c>
      <c r="AL14" s="4"/>
      <c r="AM14" s="4"/>
      <c r="AN14" s="56">
        <f t="shared" si="9"/>
        <v>1</v>
      </c>
      <c r="AO14" s="56"/>
      <c r="AP14" s="41">
        <f t="shared" si="4"/>
        <v>0</v>
      </c>
      <c r="AQ14" s="4"/>
      <c r="AR14" s="4"/>
      <c r="AS14" s="87">
        <f t="shared" si="10"/>
        <v>1</v>
      </c>
      <c r="AT14" s="88">
        <f>IFERROR(AVERAGE(Z13,AE13,AJ13,AO13)*0.25,0)</f>
        <v>0.25</v>
      </c>
      <c r="AU14" s="89">
        <f t="shared" si="5"/>
        <v>0.25</v>
      </c>
    </row>
    <row r="15" spans="1:47" s="6" customFormat="1" ht="390" x14ac:dyDescent="0.25">
      <c r="A15" s="5" t="s">
        <v>98</v>
      </c>
      <c r="B15" s="4" t="s">
        <v>99</v>
      </c>
      <c r="C15" s="51" t="s">
        <v>53</v>
      </c>
      <c r="D15" s="13" t="s">
        <v>54</v>
      </c>
      <c r="E15" s="13" t="s">
        <v>55</v>
      </c>
      <c r="F15" s="13" t="s">
        <v>56</v>
      </c>
      <c r="G15" s="62" t="s">
        <v>57</v>
      </c>
      <c r="H15" s="13" t="s">
        <v>58</v>
      </c>
      <c r="I15" s="13" t="s">
        <v>90</v>
      </c>
      <c r="J15" s="14" t="s">
        <v>60</v>
      </c>
      <c r="K15" s="67" t="s">
        <v>100</v>
      </c>
      <c r="L15" s="4" t="s">
        <v>101</v>
      </c>
      <c r="M15" s="95">
        <v>1</v>
      </c>
      <c r="N15" s="4" t="s">
        <v>102</v>
      </c>
      <c r="O15" s="14" t="s">
        <v>64</v>
      </c>
      <c r="P15" s="56">
        <v>1</v>
      </c>
      <c r="Q15" s="56">
        <v>1</v>
      </c>
      <c r="R15" s="56">
        <v>1</v>
      </c>
      <c r="S15" s="56">
        <v>1</v>
      </c>
      <c r="T15" s="56">
        <f t="shared" si="0"/>
        <v>1</v>
      </c>
      <c r="U15" s="65" t="s">
        <v>103</v>
      </c>
      <c r="V15" s="65" t="s">
        <v>104</v>
      </c>
      <c r="W15" s="12" t="s">
        <v>67</v>
      </c>
      <c r="X15" s="12" t="s">
        <v>67</v>
      </c>
      <c r="Y15" s="71">
        <f t="shared" si="6"/>
        <v>1</v>
      </c>
      <c r="Z15" s="71">
        <f>255/407</f>
        <v>0.62653562653562656</v>
      </c>
      <c r="AA15" s="70">
        <f t="shared" si="1"/>
        <v>0.62653562653562656</v>
      </c>
      <c r="AB15" s="4" t="s">
        <v>105</v>
      </c>
      <c r="AC15" s="94" t="s">
        <v>106</v>
      </c>
      <c r="AD15" s="56">
        <f t="shared" si="7"/>
        <v>1</v>
      </c>
      <c r="AE15" s="57"/>
      <c r="AF15" s="41">
        <f t="shared" si="2"/>
        <v>0</v>
      </c>
      <c r="AG15" s="4"/>
      <c r="AH15" s="4"/>
      <c r="AI15" s="56">
        <f t="shared" si="8"/>
        <v>1</v>
      </c>
      <c r="AJ15" s="57"/>
      <c r="AK15" s="41">
        <f t="shared" si="3"/>
        <v>0</v>
      </c>
      <c r="AL15" s="4"/>
      <c r="AM15" s="4"/>
      <c r="AN15" s="56">
        <f t="shared" si="9"/>
        <v>1</v>
      </c>
      <c r="AO15" s="57"/>
      <c r="AP15" s="41">
        <f t="shared" si="4"/>
        <v>0</v>
      </c>
      <c r="AQ15" s="4"/>
      <c r="AR15" s="4"/>
      <c r="AS15" s="87">
        <f t="shared" si="10"/>
        <v>1</v>
      </c>
      <c r="AT15" s="88">
        <f>IFERROR(AVERAGE(Z14,AE14,AJ14,AO14)*0.25,0)</f>
        <v>0.24006622516556292</v>
      </c>
      <c r="AU15" s="89">
        <f t="shared" si="5"/>
        <v>0.24006622516556292</v>
      </c>
    </row>
    <row r="16" spans="1:47" s="6" customFormat="1" ht="405" x14ac:dyDescent="0.25">
      <c r="A16" s="5" t="s">
        <v>107</v>
      </c>
      <c r="B16" s="14" t="s">
        <v>108</v>
      </c>
      <c r="C16" s="51" t="s">
        <v>53</v>
      </c>
      <c r="D16" s="13" t="s">
        <v>54</v>
      </c>
      <c r="E16" s="13" t="s">
        <v>55</v>
      </c>
      <c r="F16" s="13" t="s">
        <v>56</v>
      </c>
      <c r="G16" s="62" t="s">
        <v>57</v>
      </c>
      <c r="H16" s="13" t="s">
        <v>58</v>
      </c>
      <c r="I16" s="13" t="s">
        <v>90</v>
      </c>
      <c r="J16" s="14" t="s">
        <v>60</v>
      </c>
      <c r="K16" s="62" t="s">
        <v>109</v>
      </c>
      <c r="L16" s="62" t="s">
        <v>110</v>
      </c>
      <c r="M16" s="95" t="s">
        <v>111</v>
      </c>
      <c r="N16" s="62" t="s">
        <v>112</v>
      </c>
      <c r="O16" s="14" t="s">
        <v>64</v>
      </c>
      <c r="P16" s="56">
        <v>1</v>
      </c>
      <c r="Q16" s="56">
        <v>1</v>
      </c>
      <c r="R16" s="56">
        <v>1</v>
      </c>
      <c r="S16" s="56">
        <v>1</v>
      </c>
      <c r="T16" s="56">
        <f t="shared" si="0"/>
        <v>1</v>
      </c>
      <c r="U16" s="65" t="s">
        <v>113</v>
      </c>
      <c r="V16" s="65" t="s">
        <v>104</v>
      </c>
      <c r="W16" s="12" t="s">
        <v>67</v>
      </c>
      <c r="X16" s="12" t="s">
        <v>67</v>
      </c>
      <c r="Y16" s="71">
        <f t="shared" si="6"/>
        <v>1</v>
      </c>
      <c r="Z16" s="70">
        <f>73/73</f>
        <v>1</v>
      </c>
      <c r="AA16" s="70">
        <f t="shared" si="1"/>
        <v>1</v>
      </c>
      <c r="AB16" s="4" t="s">
        <v>114</v>
      </c>
      <c r="AC16" s="94" t="s">
        <v>115</v>
      </c>
      <c r="AD16" s="56">
        <f t="shared" si="7"/>
        <v>1</v>
      </c>
      <c r="AE16" s="57"/>
      <c r="AF16" s="41">
        <f t="shared" si="2"/>
        <v>0</v>
      </c>
      <c r="AG16" s="4"/>
      <c r="AH16" s="4"/>
      <c r="AI16" s="56">
        <f t="shared" ref="AI16" si="11">R16</f>
        <v>1</v>
      </c>
      <c r="AJ16" s="57"/>
      <c r="AK16" s="41">
        <f t="shared" ref="AK16" si="12">IFERROR(IF(AJ16/AI16&gt;1,1,AJ16/AI16),0)</f>
        <v>0</v>
      </c>
      <c r="AL16" s="4"/>
      <c r="AM16" s="4"/>
      <c r="AN16" s="56">
        <f t="shared" ref="AN16" si="13">S16</f>
        <v>1</v>
      </c>
      <c r="AO16" s="57"/>
      <c r="AP16" s="41">
        <f t="shared" ref="AP16" si="14">IFERROR(IF(AO16/AN16&gt;1,1,AO16/AN16),0)</f>
        <v>0</v>
      </c>
      <c r="AQ16" s="4"/>
      <c r="AR16" s="4"/>
      <c r="AS16" s="87">
        <f t="shared" ref="AS16" si="15">T16</f>
        <v>1</v>
      </c>
      <c r="AT16" s="88">
        <f>IFERROR(AVERAGE(Z15,AE15,AJ15,AO15)*0.25,0)</f>
        <v>0.15663390663390664</v>
      </c>
      <c r="AU16" s="89">
        <f t="shared" si="5"/>
        <v>0.15663390663390664</v>
      </c>
    </row>
    <row r="17" spans="1:47" s="2" customFormat="1" ht="15.75" x14ac:dyDescent="0.25">
      <c r="A17" s="23"/>
      <c r="B17" s="22" t="s">
        <v>116</v>
      </c>
      <c r="C17" s="22"/>
      <c r="D17" s="23"/>
      <c r="E17" s="23"/>
      <c r="F17" s="23"/>
      <c r="G17" s="23"/>
      <c r="H17" s="23"/>
      <c r="I17" s="23"/>
      <c r="J17" s="23"/>
      <c r="K17" s="23"/>
      <c r="L17" s="23"/>
      <c r="M17" s="96"/>
      <c r="N17" s="23"/>
      <c r="O17" s="23"/>
      <c r="P17" s="43"/>
      <c r="Q17" s="43"/>
      <c r="R17" s="43"/>
      <c r="S17" s="43"/>
      <c r="T17" s="43"/>
      <c r="U17" s="23"/>
      <c r="V17" s="23"/>
      <c r="W17" s="23"/>
      <c r="X17" s="23"/>
      <c r="Y17" s="74"/>
      <c r="Z17" s="75"/>
      <c r="AA17" s="64">
        <f>AVERAGE(AA11:AA16)*80%</f>
        <v>0.61157340362638379</v>
      </c>
      <c r="AB17" s="105"/>
      <c r="AC17" s="106"/>
      <c r="AD17" s="106"/>
      <c r="AE17" s="107"/>
      <c r="AF17" s="47">
        <f>SUM(AF11:AF16)*80%</f>
        <v>0</v>
      </c>
      <c r="AG17" s="105"/>
      <c r="AH17" s="106"/>
      <c r="AI17" s="106"/>
      <c r="AJ17" s="107"/>
      <c r="AK17" s="64">
        <f>SUM(AK11:AK16)*80%</f>
        <v>0</v>
      </c>
      <c r="AL17" s="105"/>
      <c r="AM17" s="106"/>
      <c r="AN17" s="106"/>
      <c r="AO17" s="107"/>
      <c r="AP17" s="47">
        <f>SUM(AP11:AP16)*80%</f>
        <v>0</v>
      </c>
      <c r="AQ17" s="108"/>
      <c r="AR17" s="109"/>
      <c r="AS17" s="109"/>
      <c r="AT17" s="110"/>
      <c r="AU17" s="64">
        <f>AVERAGE(AU11:AU16)*80%</f>
        <v>0.11956001757326262</v>
      </c>
    </row>
    <row r="18" spans="1:47" s="6" customFormat="1" ht="60" x14ac:dyDescent="0.25">
      <c r="A18" s="36" t="s">
        <v>117</v>
      </c>
      <c r="B18" s="37" t="s">
        <v>118</v>
      </c>
      <c r="C18" s="37" t="s">
        <v>53</v>
      </c>
      <c r="D18" s="61" t="s">
        <v>119</v>
      </c>
      <c r="E18" s="37" t="s">
        <v>55</v>
      </c>
      <c r="F18" s="37" t="s">
        <v>56</v>
      </c>
      <c r="G18" s="37" t="s">
        <v>57</v>
      </c>
      <c r="H18" s="63" t="s">
        <v>58</v>
      </c>
      <c r="I18" s="37" t="s">
        <v>120</v>
      </c>
      <c r="J18" s="37" t="s">
        <v>60</v>
      </c>
      <c r="K18" s="37" t="s">
        <v>121</v>
      </c>
      <c r="L18" s="37" t="s">
        <v>122</v>
      </c>
      <c r="M18" s="97">
        <v>0</v>
      </c>
      <c r="N18" s="38" t="s">
        <v>123</v>
      </c>
      <c r="O18" s="39" t="s">
        <v>124</v>
      </c>
      <c r="P18" s="58">
        <v>0.25</v>
      </c>
      <c r="Q18" s="58">
        <v>0.25</v>
      </c>
      <c r="R18" s="58">
        <v>0.25</v>
      </c>
      <c r="S18" s="58">
        <v>0.25</v>
      </c>
      <c r="T18" s="59">
        <f>SUM(P18:S18)</f>
        <v>1</v>
      </c>
      <c r="U18" s="37" t="s">
        <v>125</v>
      </c>
      <c r="V18" s="37" t="s">
        <v>126</v>
      </c>
      <c r="W18" s="39" t="s">
        <v>67</v>
      </c>
      <c r="X18" s="37" t="s">
        <v>127</v>
      </c>
      <c r="Y18" s="76">
        <f t="shared" ref="Y18" si="16">P18</f>
        <v>0.25</v>
      </c>
      <c r="Z18" s="76">
        <v>0.25</v>
      </c>
      <c r="AA18" s="77">
        <f>IFERROR(IF(Z18/Y18&gt;1,1,Z18/Y18),0)</f>
        <v>1</v>
      </c>
      <c r="AB18" s="37" t="s">
        <v>128</v>
      </c>
      <c r="AC18" s="86" t="s">
        <v>129</v>
      </c>
      <c r="AD18" s="60">
        <f t="shared" ref="AD18" si="17">Q18</f>
        <v>0.25</v>
      </c>
      <c r="AE18" s="60"/>
      <c r="AF18" s="48">
        <f t="shared" ref="AF18" si="18">IFERROR(IF(AE18/AD18&gt;1,1,AE18/AD18),0)</f>
        <v>0</v>
      </c>
      <c r="AG18" s="37"/>
      <c r="AH18" s="37"/>
      <c r="AI18" s="60">
        <f t="shared" ref="AI18" si="19">R18</f>
        <v>0.25</v>
      </c>
      <c r="AJ18" s="60"/>
      <c r="AK18" s="48">
        <f t="shared" ref="AK18" si="20">IFERROR(IF(AJ18/AI18&gt;1,1,AJ18/AI18),0)</f>
        <v>0</v>
      </c>
      <c r="AL18" s="37"/>
      <c r="AM18" s="37"/>
      <c r="AN18" s="60">
        <f t="shared" ref="AN18" si="21">S18</f>
        <v>0.25</v>
      </c>
      <c r="AO18" s="60"/>
      <c r="AP18" s="48">
        <f t="shared" ref="AP18" si="22">IFERROR(IF(AO18/AN18&gt;1,1,AO18/AN18),0)</f>
        <v>0</v>
      </c>
      <c r="AQ18" s="37"/>
      <c r="AR18" s="37"/>
      <c r="AS18" s="90">
        <f t="shared" ref="AS18" si="23">T18</f>
        <v>1</v>
      </c>
      <c r="AT18" s="101">
        <f>MAX(Z18,AE18,AJ18,AO18)</f>
        <v>0.25</v>
      </c>
      <c r="AU18" s="91">
        <f>IFERROR(IF(AT18/AS18&gt;1,1,AT18/AS18),0)</f>
        <v>0.25</v>
      </c>
    </row>
    <row r="19" spans="1:47" s="6" customFormat="1" ht="195" x14ac:dyDescent="0.25">
      <c r="A19" s="36" t="s">
        <v>130</v>
      </c>
      <c r="B19" s="37" t="s">
        <v>131</v>
      </c>
      <c r="C19" s="37" t="s">
        <v>53</v>
      </c>
      <c r="D19" s="61" t="s">
        <v>119</v>
      </c>
      <c r="E19" s="37" t="s">
        <v>55</v>
      </c>
      <c r="F19" s="37" t="s">
        <v>56</v>
      </c>
      <c r="G19" s="37" t="s">
        <v>57</v>
      </c>
      <c r="H19" s="63" t="s">
        <v>58</v>
      </c>
      <c r="I19" s="37" t="s">
        <v>132</v>
      </c>
      <c r="J19" s="37" t="s">
        <v>60</v>
      </c>
      <c r="K19" s="37" t="s">
        <v>133</v>
      </c>
      <c r="L19" s="37" t="s">
        <v>134</v>
      </c>
      <c r="M19" s="98">
        <v>0</v>
      </c>
      <c r="N19" s="39" t="s">
        <v>135</v>
      </c>
      <c r="O19" s="39" t="s">
        <v>124</v>
      </c>
      <c r="P19" s="44">
        <v>0</v>
      </c>
      <c r="Q19" s="44">
        <v>0</v>
      </c>
      <c r="R19" s="44">
        <v>1</v>
      </c>
      <c r="S19" s="44">
        <v>0</v>
      </c>
      <c r="T19" s="42">
        <f>SUM(P19:S19)</f>
        <v>1</v>
      </c>
      <c r="U19" s="37" t="s">
        <v>136</v>
      </c>
      <c r="V19" s="37" t="s">
        <v>137</v>
      </c>
      <c r="W19" s="39" t="s">
        <v>67</v>
      </c>
      <c r="X19" s="37" t="s">
        <v>127</v>
      </c>
      <c r="Y19" s="76">
        <f t="shared" ref="Y19:Y21" si="24">P19</f>
        <v>0</v>
      </c>
      <c r="Z19" s="76">
        <v>0</v>
      </c>
      <c r="AA19" s="77">
        <f>IFERROR(IF(Z19/Y19&gt;1,1,Z19/Y19),0)</f>
        <v>0</v>
      </c>
      <c r="AB19" s="37" t="s">
        <v>138</v>
      </c>
      <c r="AC19" s="86" t="s">
        <v>138</v>
      </c>
      <c r="AD19" s="60">
        <f t="shared" ref="AD19:AD21" si="25">Q19</f>
        <v>0</v>
      </c>
      <c r="AE19" s="60"/>
      <c r="AF19" s="48">
        <f t="shared" ref="AF19:AF21" si="26">IFERROR(IF(AE19/AD19&gt;1,1,AE19/AD19),0)</f>
        <v>0</v>
      </c>
      <c r="AG19" s="37"/>
      <c r="AH19" s="37"/>
      <c r="AI19" s="60">
        <f t="shared" ref="AI19:AI21" si="27">R19</f>
        <v>1</v>
      </c>
      <c r="AJ19" s="60"/>
      <c r="AK19" s="48">
        <f t="shared" ref="AK19:AK21" si="28">IFERROR(IF(AJ19/AI19&gt;1,1,AJ19/AI19),0)</f>
        <v>0</v>
      </c>
      <c r="AL19" s="37"/>
      <c r="AM19" s="37"/>
      <c r="AN19" s="60">
        <f t="shared" ref="AN19:AN21" si="29">S19</f>
        <v>0</v>
      </c>
      <c r="AO19" s="60"/>
      <c r="AP19" s="48">
        <f t="shared" ref="AP19:AP21" si="30">IFERROR(IF(AO19/AN19&gt;1,1,AO19/AN19),0)</f>
        <v>0</v>
      </c>
      <c r="AQ19" s="37"/>
      <c r="AR19" s="37"/>
      <c r="AS19" s="90">
        <f t="shared" ref="AS19:AS21" si="31">T19</f>
        <v>1</v>
      </c>
      <c r="AT19" s="101">
        <f>MAX(Z19,AE19,AJ19,AO19)</f>
        <v>0</v>
      </c>
      <c r="AU19" s="91">
        <f>IFERROR(IF(AT19/AS19&gt;1,1,AT19/AS19),0)</f>
        <v>0</v>
      </c>
    </row>
    <row r="20" spans="1:47" s="6" customFormat="1" ht="105" x14ac:dyDescent="0.25">
      <c r="A20" s="36" t="s">
        <v>139</v>
      </c>
      <c r="B20" s="37" t="s">
        <v>140</v>
      </c>
      <c r="C20" s="37" t="s">
        <v>53</v>
      </c>
      <c r="D20" s="61" t="s">
        <v>54</v>
      </c>
      <c r="E20" s="37" t="s">
        <v>141</v>
      </c>
      <c r="F20" s="37" t="s">
        <v>142</v>
      </c>
      <c r="G20" s="37" t="s">
        <v>57</v>
      </c>
      <c r="H20" s="63" t="s">
        <v>58</v>
      </c>
      <c r="I20" s="37" t="s">
        <v>143</v>
      </c>
      <c r="J20" s="37" t="s">
        <v>60</v>
      </c>
      <c r="K20" s="37" t="s">
        <v>144</v>
      </c>
      <c r="L20" s="37" t="s">
        <v>145</v>
      </c>
      <c r="M20" s="98" t="s">
        <v>146</v>
      </c>
      <c r="N20" s="39" t="s">
        <v>147</v>
      </c>
      <c r="O20" s="39" t="s">
        <v>124</v>
      </c>
      <c r="P20" s="60">
        <v>1</v>
      </c>
      <c r="Q20" s="60">
        <v>0</v>
      </c>
      <c r="R20" s="60">
        <v>0</v>
      </c>
      <c r="S20" s="60">
        <v>0</v>
      </c>
      <c r="T20" s="60">
        <f>SUM(P20:S20)</f>
        <v>1</v>
      </c>
      <c r="U20" s="37" t="s">
        <v>148</v>
      </c>
      <c r="V20" s="37" t="s">
        <v>149</v>
      </c>
      <c r="W20" s="39" t="s">
        <v>67</v>
      </c>
      <c r="X20" s="37" t="s">
        <v>150</v>
      </c>
      <c r="Y20" s="76">
        <f t="shared" si="24"/>
        <v>1</v>
      </c>
      <c r="Z20" s="76">
        <f>1/1</f>
        <v>1</v>
      </c>
      <c r="AA20" s="77">
        <f>IFERROR(IF(Z20/Y20&gt;1,1,Z20/Y20),0)</f>
        <v>1</v>
      </c>
      <c r="AB20" s="86" t="s">
        <v>151</v>
      </c>
      <c r="AC20" s="86" t="s">
        <v>152</v>
      </c>
      <c r="AD20" s="60">
        <f t="shared" si="25"/>
        <v>0</v>
      </c>
      <c r="AE20" s="60"/>
      <c r="AF20" s="48">
        <f t="shared" si="26"/>
        <v>0</v>
      </c>
      <c r="AG20" s="37"/>
      <c r="AH20" s="37"/>
      <c r="AI20" s="60">
        <f t="shared" si="27"/>
        <v>0</v>
      </c>
      <c r="AJ20" s="60"/>
      <c r="AK20" s="48">
        <f t="shared" si="28"/>
        <v>0</v>
      </c>
      <c r="AL20" s="37"/>
      <c r="AM20" s="37"/>
      <c r="AN20" s="60">
        <f t="shared" si="29"/>
        <v>0</v>
      </c>
      <c r="AO20" s="60"/>
      <c r="AP20" s="48">
        <f t="shared" si="30"/>
        <v>0</v>
      </c>
      <c r="AQ20" s="37"/>
      <c r="AR20" s="37"/>
      <c r="AS20" s="90">
        <f t="shared" si="31"/>
        <v>1</v>
      </c>
      <c r="AT20" s="101">
        <f>MAX(Z20,AE20,AJ20,AO20)</f>
        <v>1</v>
      </c>
      <c r="AU20" s="91">
        <f>IFERROR(IF(AT20/AS20&gt;1,1,AT20/AS20),0)</f>
        <v>1</v>
      </c>
    </row>
    <row r="21" spans="1:47" s="6" customFormat="1" ht="105" x14ac:dyDescent="0.25">
      <c r="A21" s="36" t="s">
        <v>153</v>
      </c>
      <c r="B21" s="37" t="s">
        <v>154</v>
      </c>
      <c r="C21" s="37" t="s">
        <v>53</v>
      </c>
      <c r="D21" s="61" t="s">
        <v>54</v>
      </c>
      <c r="E21" s="37" t="s">
        <v>141</v>
      </c>
      <c r="F21" s="37" t="s">
        <v>142</v>
      </c>
      <c r="G21" s="37" t="s">
        <v>57</v>
      </c>
      <c r="H21" s="63" t="s">
        <v>58</v>
      </c>
      <c r="I21" s="37" t="s">
        <v>143</v>
      </c>
      <c r="J21" s="37" t="s">
        <v>155</v>
      </c>
      <c r="K21" s="37" t="s">
        <v>156</v>
      </c>
      <c r="L21" s="37" t="s">
        <v>145</v>
      </c>
      <c r="M21" s="98" t="s">
        <v>157</v>
      </c>
      <c r="N21" s="39" t="s">
        <v>158</v>
      </c>
      <c r="O21" s="39" t="s">
        <v>64</v>
      </c>
      <c r="P21" s="60">
        <v>1</v>
      </c>
      <c r="Q21" s="60">
        <v>1</v>
      </c>
      <c r="R21" s="60">
        <v>1</v>
      </c>
      <c r="S21" s="60">
        <v>1</v>
      </c>
      <c r="T21" s="60">
        <f>AVERAGE(P21:S21)</f>
        <v>1</v>
      </c>
      <c r="U21" s="37" t="s">
        <v>148</v>
      </c>
      <c r="V21" s="37" t="s">
        <v>149</v>
      </c>
      <c r="W21" s="39" t="s">
        <v>67</v>
      </c>
      <c r="X21" s="37" t="s">
        <v>150</v>
      </c>
      <c r="Y21" s="76">
        <f t="shared" si="24"/>
        <v>1</v>
      </c>
      <c r="Z21" s="76">
        <f>14/14</f>
        <v>1</v>
      </c>
      <c r="AA21" s="77">
        <f>IFERROR(IF(Z21/Y21&gt;1,1,Z21/Y21),0)</f>
        <v>1</v>
      </c>
      <c r="AB21" s="86" t="s">
        <v>159</v>
      </c>
      <c r="AC21" s="86" t="s">
        <v>152</v>
      </c>
      <c r="AD21" s="60">
        <f t="shared" si="25"/>
        <v>1</v>
      </c>
      <c r="AE21" s="60"/>
      <c r="AF21" s="48">
        <f t="shared" si="26"/>
        <v>0</v>
      </c>
      <c r="AG21" s="37"/>
      <c r="AH21" s="37"/>
      <c r="AI21" s="60">
        <f t="shared" si="27"/>
        <v>1</v>
      </c>
      <c r="AJ21" s="60"/>
      <c r="AK21" s="48">
        <f t="shared" si="28"/>
        <v>0</v>
      </c>
      <c r="AL21" s="37"/>
      <c r="AM21" s="37"/>
      <c r="AN21" s="60">
        <f t="shared" si="29"/>
        <v>1</v>
      </c>
      <c r="AO21" s="60"/>
      <c r="AP21" s="48">
        <f t="shared" si="30"/>
        <v>0</v>
      </c>
      <c r="AQ21" s="37"/>
      <c r="AR21" s="37"/>
      <c r="AS21" s="90">
        <f t="shared" si="31"/>
        <v>1</v>
      </c>
      <c r="AT21" s="101">
        <f>IFERROR(AVERAGE(Z21,AE21,AJ21,AO21)*0.25,0)</f>
        <v>0.25</v>
      </c>
      <c r="AU21" s="91">
        <f>IFERROR(IF(AT21/AS21&gt;1,1,AT21/AS21),0)</f>
        <v>0.25</v>
      </c>
    </row>
    <row r="22" spans="1:47" s="2" customFormat="1" ht="15.75" x14ac:dyDescent="0.25">
      <c r="A22" s="40"/>
      <c r="B22" s="40" t="s">
        <v>160</v>
      </c>
      <c r="C22" s="40"/>
      <c r="D22" s="40"/>
      <c r="E22" s="40"/>
      <c r="F22" s="40"/>
      <c r="G22" s="40"/>
      <c r="H22" s="40"/>
      <c r="I22" s="40"/>
      <c r="J22" s="40"/>
      <c r="K22" s="40"/>
      <c r="L22" s="40"/>
      <c r="M22" s="99"/>
      <c r="N22" s="40"/>
      <c r="O22" s="40"/>
      <c r="P22" s="45"/>
      <c r="Q22" s="45"/>
      <c r="R22" s="45"/>
      <c r="S22" s="45"/>
      <c r="T22" s="45"/>
      <c r="U22" s="40"/>
      <c r="V22" s="40"/>
      <c r="W22" s="40"/>
      <c r="X22" s="40"/>
      <c r="Y22" s="78"/>
      <c r="Z22" s="79"/>
      <c r="AA22" s="80">
        <f>AVERAGE(AA18,AA20,AA21)*20%</f>
        <v>0.2</v>
      </c>
      <c r="AB22" s="111"/>
      <c r="AC22" s="112"/>
      <c r="AD22" s="112"/>
      <c r="AE22" s="113"/>
      <c r="AF22" s="49">
        <f>SUM(AF18,AF21)*20%</f>
        <v>0</v>
      </c>
      <c r="AG22" s="111"/>
      <c r="AH22" s="112"/>
      <c r="AI22" s="112"/>
      <c r="AJ22" s="113"/>
      <c r="AK22" s="49">
        <f>SUM(AK18,AK19,AK21)*20%</f>
        <v>0</v>
      </c>
      <c r="AL22" s="111"/>
      <c r="AM22" s="112"/>
      <c r="AN22" s="112"/>
      <c r="AO22" s="113"/>
      <c r="AP22" s="49">
        <f>SUM(AP18,AP21)*20%</f>
        <v>0</v>
      </c>
      <c r="AQ22" s="114"/>
      <c r="AR22" s="115"/>
      <c r="AS22" s="115"/>
      <c r="AT22" s="116"/>
      <c r="AU22" s="80">
        <f>AVERAGE(AU18,AU20,AU21)*20%</f>
        <v>0.1</v>
      </c>
    </row>
    <row r="23" spans="1:47" s="3" customFormat="1" ht="18.75" x14ac:dyDescent="0.3">
      <c r="A23" s="24"/>
      <c r="B23" s="24" t="s">
        <v>161</v>
      </c>
      <c r="C23" s="24"/>
      <c r="D23" s="24"/>
      <c r="E23" s="24"/>
      <c r="F23" s="24"/>
      <c r="G23" s="24"/>
      <c r="H23" s="24"/>
      <c r="I23" s="24"/>
      <c r="J23" s="24"/>
      <c r="K23" s="24"/>
      <c r="L23" s="24"/>
      <c r="M23" s="100"/>
      <c r="N23" s="24"/>
      <c r="O23" s="24"/>
      <c r="P23" s="46"/>
      <c r="Q23" s="46"/>
      <c r="R23" s="46"/>
      <c r="S23" s="46"/>
      <c r="T23" s="46"/>
      <c r="U23" s="24"/>
      <c r="V23" s="24"/>
      <c r="W23" s="24"/>
      <c r="X23" s="24"/>
      <c r="Y23" s="81"/>
      <c r="Z23" s="82"/>
      <c r="AA23" s="83">
        <f>+AA17+AA22</f>
        <v>0.81157340362638375</v>
      </c>
      <c r="AB23" s="102"/>
      <c r="AC23" s="103"/>
      <c r="AD23" s="103"/>
      <c r="AE23" s="104"/>
      <c r="AF23" s="50">
        <f>+AF17+AF22</f>
        <v>0</v>
      </c>
      <c r="AG23" s="102"/>
      <c r="AH23" s="103"/>
      <c r="AI23" s="103"/>
      <c r="AJ23" s="104"/>
      <c r="AK23" s="50">
        <f>+AK17+AK22</f>
        <v>0</v>
      </c>
      <c r="AL23" s="102"/>
      <c r="AM23" s="103"/>
      <c r="AN23" s="103"/>
      <c r="AO23" s="104"/>
      <c r="AP23" s="50">
        <f>+AP17+AP22</f>
        <v>0</v>
      </c>
      <c r="AQ23" s="102"/>
      <c r="AR23" s="103"/>
      <c r="AS23" s="103"/>
      <c r="AT23" s="104"/>
      <c r="AU23" s="83">
        <f>+AU17+AU22</f>
        <v>0.21956001757326263</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3:AE23"/>
    <mergeCell ref="AG23:AJ23"/>
    <mergeCell ref="AL23:AO23"/>
    <mergeCell ref="AQ23:AT23"/>
    <mergeCell ref="AB17:AE17"/>
    <mergeCell ref="AG17:AJ17"/>
    <mergeCell ref="AL17:AO17"/>
    <mergeCell ref="AQ17:AT17"/>
    <mergeCell ref="AB22:AE22"/>
    <mergeCell ref="AG22:AJ22"/>
    <mergeCell ref="AL22:AO22"/>
    <mergeCell ref="AQ22:AT22"/>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3 AP11:AP23 AK11:AK23 AF11:AF23 Y11:AA23" xr:uid="{2620A730-8CA7-472C-88BC-172E885C72B7}">
      <formula1>0</formula1>
      <formula2>1000000</formula2>
    </dataValidation>
  </dataValidations>
  <pageMargins left="0.7" right="0.7" top="0.75" bottom="0.75" header="0.3" footer="0.3"/>
  <pageSetup paperSize="9" orientation="portrait" r:id="rId1"/>
  <ignoredErrors>
    <ignoredError sqref="AF17 AK17 AP17"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F18:F21 F11:F16</xm:sqref>
        </x14:dataValidation>
        <x14:dataValidation type="list" allowBlank="1" showInputMessage="1" showErrorMessage="1" xr:uid="{368CAFF5-BE04-4FFF-B338-51D69BA23554}">
          <x14:formula1>
            <xm:f>Listas!$F$2:$F$10</xm:f>
          </x14:formula1>
          <xm:sqref>G18:G21 G11:G16</xm:sqref>
        </x14:dataValidation>
        <x14:dataValidation type="list" allowBlank="1" showInputMessage="1" showErrorMessage="1" xr:uid="{644DEEAA-0D3C-4060-99CA-C576A2F91A4D}">
          <x14:formula1>
            <xm:f>Listas!$I$2:$I$4</xm:f>
          </x14:formula1>
          <xm:sqref>J18:J21 J11:J16</xm:sqref>
        </x14:dataValidation>
        <x14:dataValidation type="list" allowBlank="1" showInputMessage="1" showErrorMessage="1" xr:uid="{F27B990B-F8E1-43B0-B8F7-E94519E68711}">
          <x14:formula1>
            <xm:f>Listas!$J$2:$J$5</xm:f>
          </x14:formula1>
          <xm:sqref>O18:O21 O11:O16</xm:sqref>
        </x14:dataValidation>
        <x14:dataValidation type="list" allowBlank="1" showInputMessage="1" showErrorMessage="1" xr:uid="{04D58E5A-C535-424D-AAB5-8991AB9C5DFB}">
          <x14:formula1>
            <xm:f>Listas!$G$2:$G$9</xm:f>
          </x14:formula1>
          <xm:sqref>H18:H21 H11:H16</xm:sqref>
        </x14:dataValidation>
        <x14:dataValidation type="list" allowBlank="1" showInputMessage="1" showErrorMessage="1" xr:uid="{FAFEBD2F-5282-4B82-98B1-C87AACF170B0}">
          <x14:formula1>
            <xm:f>Listas!$C$2:$C$10</xm:f>
          </x14:formula1>
          <xm:sqref>D18:D21 D11:D16</xm:sqref>
        </x14:dataValidation>
        <x14:dataValidation type="list" allowBlank="1" showInputMessage="1" showErrorMessage="1" xr:uid="{520D2F01-9FDA-4008-9999-0E710FCEF4EB}">
          <x14:formula1>
            <xm:f>Listas!$D$2:$D$21</xm:f>
          </x14:formula1>
          <xm:sqref>E18:E21 E11:E16</xm:sqref>
        </x14:dataValidation>
        <x14:dataValidation type="list" allowBlank="1" showInputMessage="1" showErrorMessage="1" xr:uid="{80A19DC1-4D67-4B84-B2EE-734B5921D124}">
          <x14:formula1>
            <xm:f>Listas!$A$2:$A$25</xm:f>
          </x14:formula1>
          <xm:sqref>W11:X16 W18:W21 X18:X19</xm:sqref>
        </x14:dataValidation>
        <x14:dataValidation type="list" allowBlank="1" showInputMessage="1" showErrorMessage="1" xr:uid="{085547D8-D571-4659-8620-E369E4253A0D}">
          <x14:formula1>
            <xm:f>Listas!$B$2:$B$5</xm:f>
          </x14:formula1>
          <xm:sqref>C18:C21 C11:C16</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I18:I21 I11:I16</xm:sqref>
        </x14:dataValidation>
        <x14:dataValidation type="list" allowBlank="1" showInputMessage="1" showErrorMessage="1" error="Escriba un texto " promptTitle="Cualquier contenido" xr:uid="{00000000-0002-0000-0100-000001000000}">
          <x14:formula1>
            <xm:f>Listas!#REF!</xm:f>
          </x14:formula1>
          <xm:sqref>L24:L1048576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51" t="s">
        <v>162</v>
      </c>
      <c r="B1" s="151"/>
    </row>
    <row r="2" spans="1:2" ht="21" x14ac:dyDescent="0.25">
      <c r="A2" s="53" t="s">
        <v>163</v>
      </c>
      <c r="B2" s="53" t="s">
        <v>7</v>
      </c>
    </row>
    <row r="3" spans="1:2" x14ac:dyDescent="0.25">
      <c r="A3" s="54" t="s">
        <v>2</v>
      </c>
      <c r="B3" s="55" t="s">
        <v>164</v>
      </c>
    </row>
    <row r="4" spans="1:2" ht="30" x14ac:dyDescent="0.25">
      <c r="A4" s="54" t="s">
        <v>165</v>
      </c>
      <c r="B4" s="55" t="s">
        <v>166</v>
      </c>
    </row>
    <row r="5" spans="1:2" x14ac:dyDescent="0.25">
      <c r="A5" s="54" t="s">
        <v>167</v>
      </c>
      <c r="B5" s="55" t="s">
        <v>168</v>
      </c>
    </row>
    <row r="6" spans="1:2" ht="45" x14ac:dyDescent="0.25">
      <c r="A6" s="54" t="s">
        <v>169</v>
      </c>
      <c r="B6" s="55" t="s">
        <v>170</v>
      </c>
    </row>
    <row r="7" spans="1:2" x14ac:dyDescent="0.25">
      <c r="A7" s="54" t="s">
        <v>171</v>
      </c>
      <c r="B7" s="55" t="s">
        <v>172</v>
      </c>
    </row>
    <row r="8" spans="1:2" x14ac:dyDescent="0.25">
      <c r="A8" s="54" t="s">
        <v>173</v>
      </c>
      <c r="B8" s="55" t="s">
        <v>172</v>
      </c>
    </row>
    <row r="9" spans="1:2" x14ac:dyDescent="0.25">
      <c r="A9" s="54" t="s">
        <v>174</v>
      </c>
      <c r="B9" s="55" t="s">
        <v>172</v>
      </c>
    </row>
    <row r="10" spans="1:2" ht="45" x14ac:dyDescent="0.25">
      <c r="A10" s="54" t="s">
        <v>175</v>
      </c>
      <c r="B10" s="55" t="s">
        <v>176</v>
      </c>
    </row>
    <row r="11" spans="1:2" ht="45" x14ac:dyDescent="0.25">
      <c r="A11" s="54" t="s">
        <v>177</v>
      </c>
      <c r="B11" s="55" t="s">
        <v>178</v>
      </c>
    </row>
    <row r="12" spans="1:2" ht="30" x14ac:dyDescent="0.25">
      <c r="A12" s="54" t="s">
        <v>179</v>
      </c>
      <c r="B12" s="55" t="s">
        <v>180</v>
      </c>
    </row>
    <row r="13" spans="1:2" ht="30" x14ac:dyDescent="0.25">
      <c r="A13" s="54" t="s">
        <v>181</v>
      </c>
      <c r="B13" s="55" t="s">
        <v>180</v>
      </c>
    </row>
    <row r="14" spans="1:2" ht="150" x14ac:dyDescent="0.25">
      <c r="A14" s="54" t="s">
        <v>182</v>
      </c>
      <c r="B14" s="55" t="s">
        <v>183</v>
      </c>
    </row>
    <row r="15" spans="1:2" ht="30" x14ac:dyDescent="0.25">
      <c r="A15" s="54" t="s">
        <v>184</v>
      </c>
      <c r="B15" s="55" t="s">
        <v>185</v>
      </c>
    </row>
    <row r="16" spans="1:2" ht="30" x14ac:dyDescent="0.25">
      <c r="A16" s="54" t="s">
        <v>186</v>
      </c>
      <c r="B16" s="55" t="s">
        <v>187</v>
      </c>
    </row>
    <row r="17" spans="1:2" ht="75" x14ac:dyDescent="0.25">
      <c r="A17" s="54" t="s">
        <v>188</v>
      </c>
      <c r="B17" s="55" t="s">
        <v>189</v>
      </c>
    </row>
    <row r="18" spans="1:2" ht="30" x14ac:dyDescent="0.25">
      <c r="A18" s="54" t="s">
        <v>190</v>
      </c>
      <c r="B18" s="55" t="s">
        <v>191</v>
      </c>
    </row>
    <row r="19" spans="1:2" ht="300" x14ac:dyDescent="0.25">
      <c r="A19" s="54" t="s">
        <v>192</v>
      </c>
      <c r="B19" s="55" t="s">
        <v>193</v>
      </c>
    </row>
    <row r="20" spans="1:2" ht="30" x14ac:dyDescent="0.25">
      <c r="A20" s="54" t="s">
        <v>194</v>
      </c>
      <c r="B20" s="55" t="s">
        <v>195</v>
      </c>
    </row>
    <row r="21" spans="1:2" ht="30" x14ac:dyDescent="0.25">
      <c r="A21" s="54" t="s">
        <v>196</v>
      </c>
      <c r="B21" s="55" t="s">
        <v>197</v>
      </c>
    </row>
    <row r="22" spans="1:2" ht="45" x14ac:dyDescent="0.25">
      <c r="A22" s="54" t="s">
        <v>198</v>
      </c>
      <c r="B22" s="55" t="s">
        <v>199</v>
      </c>
    </row>
    <row r="23" spans="1:2" ht="30" x14ac:dyDescent="0.25">
      <c r="A23" s="54" t="s">
        <v>200</v>
      </c>
      <c r="B23" s="55" t="s">
        <v>201</v>
      </c>
    </row>
    <row r="24" spans="1:2" ht="30" x14ac:dyDescent="0.25">
      <c r="A24" s="54" t="s">
        <v>202</v>
      </c>
      <c r="B24" s="55" t="s">
        <v>203</v>
      </c>
    </row>
    <row r="25" spans="1:2" ht="60" x14ac:dyDescent="0.25">
      <c r="A25" s="54" t="s">
        <v>204</v>
      </c>
      <c r="B25" s="55" t="s">
        <v>205</v>
      </c>
    </row>
    <row r="26" spans="1:2" ht="45" x14ac:dyDescent="0.25">
      <c r="A26" s="54" t="s">
        <v>206</v>
      </c>
      <c r="B26" s="55" t="s">
        <v>207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208</v>
      </c>
      <c r="B1" s="35" t="s">
        <v>27</v>
      </c>
      <c r="C1" s="35" t="s">
        <v>209</v>
      </c>
      <c r="D1" s="35" t="s">
        <v>210</v>
      </c>
      <c r="E1" s="35" t="s">
        <v>211</v>
      </c>
      <c r="F1" s="35" t="s">
        <v>212</v>
      </c>
      <c r="G1" s="35" t="s">
        <v>213</v>
      </c>
      <c r="H1" s="35" t="s">
        <v>214</v>
      </c>
      <c r="I1" s="35" t="s">
        <v>32</v>
      </c>
      <c r="J1" s="35" t="s">
        <v>37</v>
      </c>
      <c r="K1" s="35" t="s">
        <v>2</v>
      </c>
    </row>
    <row r="2" spans="1:11" x14ac:dyDescent="0.25">
      <c r="A2" t="s">
        <v>215</v>
      </c>
      <c r="B2" t="s">
        <v>216</v>
      </c>
      <c r="C2" s="19" t="s">
        <v>217</v>
      </c>
      <c r="D2" t="s">
        <v>218</v>
      </c>
      <c r="E2" t="s">
        <v>219</v>
      </c>
      <c r="F2" t="s">
        <v>220</v>
      </c>
      <c r="G2" t="s">
        <v>221</v>
      </c>
      <c r="H2" s="19" t="s">
        <v>222</v>
      </c>
      <c r="I2" t="s">
        <v>60</v>
      </c>
      <c r="J2" t="s">
        <v>124</v>
      </c>
      <c r="K2" s="11" t="s">
        <v>223</v>
      </c>
    </row>
    <row r="3" spans="1:11" x14ac:dyDescent="0.25">
      <c r="A3" t="s">
        <v>127</v>
      </c>
      <c r="B3" t="s">
        <v>224</v>
      </c>
      <c r="C3" s="19" t="s">
        <v>225</v>
      </c>
      <c r="D3" t="s">
        <v>226</v>
      </c>
      <c r="E3" t="s">
        <v>227</v>
      </c>
      <c r="F3" t="s">
        <v>228</v>
      </c>
      <c r="G3" t="s">
        <v>229</v>
      </c>
      <c r="H3" s="19" t="s">
        <v>230</v>
      </c>
      <c r="I3" t="s">
        <v>155</v>
      </c>
      <c r="J3" t="s">
        <v>64</v>
      </c>
      <c r="K3" s="11" t="s">
        <v>231</v>
      </c>
    </row>
    <row r="4" spans="1:11" x14ac:dyDescent="0.25">
      <c r="A4" t="s">
        <v>232</v>
      </c>
      <c r="B4" t="s">
        <v>53</v>
      </c>
      <c r="C4" s="19" t="s">
        <v>233</v>
      </c>
      <c r="D4" t="s">
        <v>234</v>
      </c>
      <c r="E4" t="s">
        <v>235</v>
      </c>
      <c r="F4" t="s">
        <v>57</v>
      </c>
      <c r="G4" t="s">
        <v>58</v>
      </c>
      <c r="H4" s="19" t="s">
        <v>236</v>
      </c>
      <c r="I4" t="s">
        <v>237</v>
      </c>
      <c r="J4" t="s">
        <v>238</v>
      </c>
      <c r="K4" s="11" t="s">
        <v>239</v>
      </c>
    </row>
    <row r="5" spans="1:11" x14ac:dyDescent="0.25">
      <c r="A5" t="s">
        <v>240</v>
      </c>
      <c r="B5" t="s">
        <v>241</v>
      </c>
      <c r="C5" s="19" t="s">
        <v>242</v>
      </c>
      <c r="D5" t="s">
        <v>243</v>
      </c>
      <c r="E5" t="s">
        <v>244</v>
      </c>
      <c r="F5" t="s">
        <v>245</v>
      </c>
      <c r="G5" t="s">
        <v>246</v>
      </c>
      <c r="H5" s="19" t="s">
        <v>247</v>
      </c>
      <c r="J5" t="s">
        <v>248</v>
      </c>
      <c r="K5" s="11" t="s">
        <v>249</v>
      </c>
    </row>
    <row r="6" spans="1:11" x14ac:dyDescent="0.25">
      <c r="A6" t="s">
        <v>250</v>
      </c>
      <c r="C6" s="19" t="s">
        <v>119</v>
      </c>
      <c r="D6" t="s">
        <v>251</v>
      </c>
      <c r="E6" t="s">
        <v>252</v>
      </c>
      <c r="F6" t="s">
        <v>253</v>
      </c>
      <c r="G6" t="s">
        <v>254</v>
      </c>
      <c r="H6" s="19" t="s">
        <v>255</v>
      </c>
      <c r="K6" s="11" t="s">
        <v>256</v>
      </c>
    </row>
    <row r="7" spans="1:11" x14ac:dyDescent="0.25">
      <c r="A7" t="s">
        <v>257</v>
      </c>
      <c r="C7" s="19" t="s">
        <v>54</v>
      </c>
      <c r="D7" t="s">
        <v>258</v>
      </c>
      <c r="E7" t="s">
        <v>259</v>
      </c>
      <c r="F7" t="s">
        <v>260</v>
      </c>
      <c r="G7" t="s">
        <v>261</v>
      </c>
      <c r="H7" s="19" t="s">
        <v>132</v>
      </c>
      <c r="K7" s="11" t="s">
        <v>262</v>
      </c>
    </row>
    <row r="8" spans="1:11" x14ac:dyDescent="0.25">
      <c r="A8" t="s">
        <v>67</v>
      </c>
      <c r="C8" s="19" t="s">
        <v>263</v>
      </c>
      <c r="D8" t="s">
        <v>264</v>
      </c>
      <c r="E8" t="s">
        <v>265</v>
      </c>
      <c r="F8" t="s">
        <v>266</v>
      </c>
      <c r="G8" t="s">
        <v>267</v>
      </c>
      <c r="H8" s="19" t="s">
        <v>268</v>
      </c>
      <c r="K8" s="11" t="s">
        <v>269</v>
      </c>
    </row>
    <row r="9" spans="1:11" x14ac:dyDescent="0.25">
      <c r="A9" t="s">
        <v>270</v>
      </c>
      <c r="C9" s="19" t="s">
        <v>242</v>
      </c>
      <c r="D9" t="s">
        <v>271</v>
      </c>
      <c r="E9" t="s">
        <v>272</v>
      </c>
      <c r="F9" t="s">
        <v>273</v>
      </c>
      <c r="G9" s="19" t="s">
        <v>241</v>
      </c>
      <c r="H9" s="19" t="s">
        <v>274</v>
      </c>
      <c r="K9" s="11" t="s">
        <v>275</v>
      </c>
    </row>
    <row r="10" spans="1:11" x14ac:dyDescent="0.25">
      <c r="A10" t="s">
        <v>276</v>
      </c>
      <c r="C10" s="19" t="s">
        <v>241</v>
      </c>
      <c r="D10" t="s">
        <v>277</v>
      </c>
      <c r="E10" t="s">
        <v>142</v>
      </c>
      <c r="F10" t="s">
        <v>278</v>
      </c>
      <c r="H10" s="19" t="s">
        <v>59</v>
      </c>
      <c r="K10" s="11" t="s">
        <v>279</v>
      </c>
    </row>
    <row r="11" spans="1:11" x14ac:dyDescent="0.25">
      <c r="A11" t="s">
        <v>280</v>
      </c>
      <c r="C11" s="19"/>
      <c r="D11" t="s">
        <v>281</v>
      </c>
      <c r="E11" t="s">
        <v>282</v>
      </c>
      <c r="H11" s="19" t="s">
        <v>90</v>
      </c>
      <c r="K11" s="11" t="s">
        <v>283</v>
      </c>
    </row>
    <row r="12" spans="1:11" ht="17.25" customHeight="1" x14ac:dyDescent="0.25">
      <c r="A12" t="s">
        <v>284</v>
      </c>
      <c r="C12" s="19"/>
      <c r="D12" t="s">
        <v>285</v>
      </c>
      <c r="E12" t="s">
        <v>56</v>
      </c>
      <c r="H12" s="19" t="s">
        <v>286</v>
      </c>
      <c r="K12" s="11" t="s">
        <v>287</v>
      </c>
    </row>
    <row r="13" spans="1:11" x14ac:dyDescent="0.25">
      <c r="A13" t="s">
        <v>288</v>
      </c>
      <c r="D13" t="s">
        <v>289</v>
      </c>
      <c r="E13" t="s">
        <v>290</v>
      </c>
      <c r="H13" s="19" t="s">
        <v>291</v>
      </c>
      <c r="K13" s="11" t="s">
        <v>292</v>
      </c>
    </row>
    <row r="14" spans="1:11" x14ac:dyDescent="0.25">
      <c r="A14" t="s">
        <v>293</v>
      </c>
      <c r="D14" t="s">
        <v>141</v>
      </c>
      <c r="H14" s="19" t="s">
        <v>143</v>
      </c>
      <c r="I14" s="11"/>
      <c r="K14" s="11" t="s">
        <v>3</v>
      </c>
    </row>
    <row r="15" spans="1:11" x14ac:dyDescent="0.25">
      <c r="A15" t="s">
        <v>294</v>
      </c>
      <c r="D15" t="s">
        <v>55</v>
      </c>
      <c r="H15" s="19" t="s">
        <v>120</v>
      </c>
      <c r="I15" s="11"/>
      <c r="K15" s="11" t="s">
        <v>295</v>
      </c>
    </row>
    <row r="16" spans="1:11" x14ac:dyDescent="0.25">
      <c r="A16" t="s">
        <v>296</v>
      </c>
      <c r="D16" t="s">
        <v>297</v>
      </c>
      <c r="H16" s="19" t="s">
        <v>298</v>
      </c>
      <c r="I16" s="11"/>
      <c r="K16" s="11" t="s">
        <v>299</v>
      </c>
    </row>
    <row r="17" spans="1:11" x14ac:dyDescent="0.25">
      <c r="A17" t="s">
        <v>300</v>
      </c>
      <c r="D17" t="s">
        <v>301</v>
      </c>
      <c r="H17" s="19" t="s">
        <v>302</v>
      </c>
      <c r="I17" s="11"/>
      <c r="K17" s="11" t="s">
        <v>303</v>
      </c>
    </row>
    <row r="18" spans="1:11" x14ac:dyDescent="0.25">
      <c r="A18" t="s">
        <v>304</v>
      </c>
      <c r="D18" t="s">
        <v>305</v>
      </c>
      <c r="H18" s="19" t="s">
        <v>306</v>
      </c>
      <c r="I18" s="11"/>
      <c r="K18" s="11" t="s">
        <v>307</v>
      </c>
    </row>
    <row r="19" spans="1:11" x14ac:dyDescent="0.25">
      <c r="A19" t="s">
        <v>308</v>
      </c>
      <c r="D19" t="s">
        <v>309</v>
      </c>
      <c r="H19" s="19" t="s">
        <v>310</v>
      </c>
      <c r="I19" s="11"/>
      <c r="K19" s="11" t="s">
        <v>311</v>
      </c>
    </row>
    <row r="20" spans="1:11" x14ac:dyDescent="0.25">
      <c r="A20" t="s">
        <v>312</v>
      </c>
      <c r="D20" t="s">
        <v>313</v>
      </c>
      <c r="H20" s="19" t="s">
        <v>314</v>
      </c>
      <c r="I20" s="11"/>
      <c r="K20" s="11" t="s">
        <v>315</v>
      </c>
    </row>
    <row r="21" spans="1:11" x14ac:dyDescent="0.25">
      <c r="A21" t="s">
        <v>316</v>
      </c>
      <c r="D21" t="s">
        <v>241</v>
      </c>
      <c r="G21" s="19"/>
      <c r="H21" s="19" t="s">
        <v>317</v>
      </c>
      <c r="I21" s="11"/>
    </row>
    <row r="22" spans="1:11" x14ac:dyDescent="0.25">
      <c r="A22" t="s">
        <v>318</v>
      </c>
      <c r="H22" s="19" t="s">
        <v>241</v>
      </c>
    </row>
    <row r="23" spans="1:11" x14ac:dyDescent="0.25">
      <c r="A23" t="s">
        <v>319</v>
      </c>
    </row>
    <row r="24" spans="1:11" x14ac:dyDescent="0.25">
      <c r="A24" t="s">
        <v>320</v>
      </c>
    </row>
    <row r="25" spans="1:11" x14ac:dyDescent="0.25">
      <c r="A25" t="s">
        <v>321</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84F9469-A904-4FF1-8B26-6C42AC3F0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