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7BBD9003-1810-4719-A723-F38B7CCE5D5A}"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H25" i="1"/>
  <c r="AR33" i="1"/>
  <c r="AQ30" i="1"/>
  <c r="AQ27" i="1"/>
  <c r="AH33" i="1"/>
  <c r="AG30" i="1"/>
  <c r="AH32" i="1"/>
  <c r="AH30" i="1"/>
  <c r="AH31" i="1"/>
  <c r="AH28" i="1"/>
  <c r="AH29" i="1"/>
  <c r="AH27" i="1"/>
  <c r="AH26" i="1"/>
  <c r="AH24" i="1"/>
  <c r="AH23" i="1"/>
  <c r="AH22" i="1"/>
  <c r="AH21" i="1"/>
  <c r="AH20" i="1"/>
  <c r="AH19" i="1"/>
  <c r="AH18" i="1"/>
  <c r="AH16" i="1"/>
  <c r="AH17" i="1"/>
  <c r="AH15" i="1"/>
  <c r="AQ31" i="1"/>
  <c r="AQ26" i="1"/>
  <c r="AC31" i="1"/>
  <c r="AC32" i="1"/>
  <c r="AC29" i="1"/>
  <c r="AC30" i="1"/>
  <c r="AC27" i="1"/>
  <c r="AC28" i="1"/>
  <c r="AC26" i="1"/>
  <c r="AC33" i="1" s="1"/>
  <c r="X31" i="1"/>
  <c r="X32" i="1"/>
  <c r="X27" i="1"/>
  <c r="X28" i="1"/>
  <c r="X26" i="1"/>
  <c r="W30" i="1"/>
  <c r="AQ32" i="1"/>
  <c r="AR32" i="1" s="1"/>
  <c r="AR31" i="1"/>
  <c r="AQ28" i="1"/>
  <c r="AR28" i="1" s="1"/>
  <c r="AQ24" i="1"/>
  <c r="AQ23" i="1"/>
  <c r="AQ22" i="1"/>
  <c r="AR27" i="1"/>
  <c r="AR26" i="1"/>
  <c r="AQ21" i="1"/>
  <c r="AQ19" i="1"/>
  <c r="AQ18" i="1"/>
  <c r="AQ17" i="1"/>
  <c r="AQ16" i="1"/>
  <c r="AQ15" i="1"/>
  <c r="W29" i="1"/>
  <c r="AA16" i="1"/>
  <c r="AC16" i="1" s="1"/>
  <c r="AF16" i="1"/>
  <c r="AK16" i="1"/>
  <c r="AM16" i="1" s="1"/>
  <c r="AA17" i="1"/>
  <c r="AC17" i="1" s="1"/>
  <c r="AF17" i="1"/>
  <c r="AK17" i="1"/>
  <c r="AM17" i="1"/>
  <c r="P23" i="1"/>
  <c r="P24" i="1"/>
  <c r="AP24" i="1" s="1"/>
  <c r="P22" i="1"/>
  <c r="P21" i="1"/>
  <c r="P20" i="1"/>
  <c r="AQ29" i="1" l="1"/>
  <c r="AR29" i="1" s="1"/>
  <c r="X29" i="1"/>
  <c r="AR24" i="1"/>
  <c r="AR30" i="1"/>
  <c r="X30" i="1"/>
  <c r="X33" i="1"/>
  <c r="P19" i="1"/>
  <c r="AP19" i="1" s="1"/>
  <c r="AR19" i="1" s="1"/>
  <c r="P18" i="1"/>
  <c r="P17" i="1"/>
  <c r="AP17" i="1" s="1"/>
  <c r="AR17" i="1" s="1"/>
  <c r="P16" i="1"/>
  <c r="AP16" i="1" s="1"/>
  <c r="AR16" i="1" s="1"/>
  <c r="P15" i="1"/>
  <c r="AP15" i="1" s="1"/>
  <c r="AR15" i="1" s="1"/>
  <c r="AK15" i="1" l="1"/>
  <c r="AM15" i="1" s="1"/>
  <c r="AM33" i="1"/>
  <c r="AP23" i="1"/>
  <c r="AR23" i="1" s="1"/>
  <c r="AP22" i="1"/>
  <c r="AR22" i="1" s="1"/>
  <c r="AP21" i="1"/>
  <c r="AR21" i="1" s="1"/>
  <c r="AP20" i="1"/>
  <c r="AR20" i="1" s="1"/>
  <c r="AP18" i="1"/>
  <c r="AR18" i="1" s="1"/>
  <c r="AK24" i="1"/>
  <c r="AM24" i="1" s="1"/>
  <c r="AK23" i="1"/>
  <c r="AM23" i="1" s="1"/>
  <c r="AK22" i="1"/>
  <c r="AM22" i="1" s="1"/>
  <c r="AK21" i="1"/>
  <c r="AM21" i="1" s="1"/>
  <c r="AK20" i="1"/>
  <c r="AM20" i="1" s="1"/>
  <c r="AK19" i="1"/>
  <c r="AM19" i="1" s="1"/>
  <c r="AK18" i="1"/>
  <c r="AM18" i="1" s="1"/>
  <c r="AF24" i="1"/>
  <c r="AF23" i="1"/>
  <c r="AF22" i="1"/>
  <c r="AF21" i="1"/>
  <c r="AF20" i="1"/>
  <c r="AF19" i="1"/>
  <c r="AF18" i="1"/>
  <c r="AF15" i="1"/>
  <c r="AA24" i="1"/>
  <c r="AC24" i="1" s="1"/>
  <c r="AA23" i="1"/>
  <c r="AC23" i="1" s="1"/>
  <c r="AA22" i="1"/>
  <c r="AC22" i="1" s="1"/>
  <c r="AA21" i="1"/>
  <c r="AC21" i="1" s="1"/>
  <c r="AA20" i="1"/>
  <c r="AC20" i="1" s="1"/>
  <c r="AA19" i="1"/>
  <c r="AC19" i="1" s="1"/>
  <c r="AA18" i="1"/>
  <c r="AC18" i="1" s="1"/>
  <c r="AA15" i="1"/>
  <c r="AC15" i="1" s="1"/>
  <c r="V24" i="1"/>
  <c r="X24" i="1" s="1"/>
  <c r="V23" i="1"/>
  <c r="X23" i="1" s="1"/>
  <c r="V22" i="1"/>
  <c r="X22" i="1" s="1"/>
  <c r="V21" i="1"/>
  <c r="X21" i="1" s="1"/>
  <c r="V20" i="1"/>
  <c r="X20" i="1" s="1"/>
  <c r="V19" i="1"/>
  <c r="X19" i="1" s="1"/>
  <c r="V18" i="1"/>
  <c r="X18" i="1" s="1"/>
  <c r="V17" i="1"/>
  <c r="X17" i="1" s="1"/>
  <c r="V16" i="1"/>
  <c r="X16" i="1" s="1"/>
  <c r="V15" i="1"/>
  <c r="X15" i="1" s="1"/>
  <c r="AR25" i="1" l="1"/>
  <c r="X25" i="1"/>
  <c r="X34" i="1" s="1"/>
  <c r="AR34" i="1"/>
  <c r="AC25" i="1"/>
  <c r="AC34" i="1" s="1"/>
  <c r="AM25" i="1"/>
  <c r="AM34" i="1" s="1"/>
  <c r="AH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25" authorId="0" shapeId="0" xr:uid="{00000000-0006-0000-0000-000032000000}">
      <text>
        <r>
          <rPr>
            <b/>
            <sz val="9"/>
            <color indexed="81"/>
            <rFont val="Tahoma"/>
            <family val="2"/>
          </rPr>
          <t>Promedio obtenido para el periodo x 80%</t>
        </r>
      </text>
    </comment>
    <comment ref="E33" authorId="0" shapeId="0" xr:uid="{00000000-0006-0000-0000-000033000000}">
      <text>
        <r>
          <rPr>
            <b/>
            <sz val="9"/>
            <color indexed="81"/>
            <rFont val="Tahoma"/>
            <family val="2"/>
          </rPr>
          <t>Promedio obtenido en las metas transversales para el periodo x 20%</t>
        </r>
      </text>
    </comment>
    <comment ref="E34"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<sst xmlns="http://schemas.openxmlformats.org/spreadsheetml/2006/main" count="456" uniqueCount="267">
  <si>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SUMAPAZ</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</si>
  <si>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</si>
  <si>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</si>
  <si>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</si>
  <si>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</si>
  <si>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</si>
  <si>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</si>
  <si>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</si>
  <si>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115985</t>
  </si>
  <si>
    <t>16 de abril de 2025</t>
  </si>
  <si>
    <t>Para el primer trimestre de la vigencia 2025, el Plan de Gestión de la alcaldia local de Sumapaz alcanzó un nivel de desempeño del 88,57% y del 34,77%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</si>
  <si>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</si>
  <si>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Sumapaz  alcanzó un nivel de desempeño del 86,20% y del 34,17% acumulado para la vigencia.</t>
  </si>
  <si>
    <t>28 de julio de 2025</t>
  </si>
  <si>
    <t>Para el II trimestre de la vigencia 2025, el Plan de Gestión de la alcaldia local de Sumapaz alcanzó un nivel de desempeño del 83,84% y del 45,96% acumulado para la vigencia.</t>
  </si>
  <si>
    <t>15 de octubre de 2025</t>
  </si>
  <si>
    <t>Para el III trimestre de la vigencia 2025, el Plan de Gestión de la alcaldia local de Sumapaz alcanzó un nivel de desempeño del 87,97% y del 67,48%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</si>
  <si>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</si>
  <si>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</si>
  <si>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</si>
  <si>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</si>
  <si>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</si>
  <si>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</si>
  <si>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</si>
  <si>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</si>
  <si>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</si>
  <si>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</si>
  <si>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</si>
  <si>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</si>
  <si>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</si>
  <si>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</si>
  <si>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</si>
  <si>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</si>
  <si>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</si>
  <si>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</si>
  <si>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</si>
  <si>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</si>
  <si>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</si>
  <si>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</si>
  <si>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</si>
  <si>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</si>
  <si>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</si>
  <si>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</si>
  <si>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</si>
  <si>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</si>
  <si>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</si>
  <si>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</si>
  <si>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</si>
  <si>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</si>
  <si>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</si>
  <si>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</si>
  <si>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</si>
  <si>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</si>
  <si>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</si>
  <si>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</si>
  <si>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</si>
  <si>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</si>
  <si>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</si>
  <si>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</si>
  <si>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</si>
  <si>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</si>
  <si>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</si>
  <si>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</si>
  <si>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</si>
  <si>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</si>
  <si>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</si>
  <si>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</si>
  <si>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meta no programada pára el periodo</t>
  </si>
  <si>
    <t xml:space="preserve">Meta no programada para el periodo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</si>
  <si>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</si>
  <si>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del Plan de Gestin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</si>
  <si>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</si>
  <si>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</si>
  <si>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10,00%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</si>
  <si>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</si>
  <si>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</si>
  <si>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</si>
  <si>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</si>
  <si>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</si>
  <si>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</si>
  <si>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</si>
  <si>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</si>
  <si>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</si>
  <si>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Se superó la meta programada para el 1er trimestre</t>
  </si>
  <si>
    <t>Reporte meta Plan de Gestion de la DGDL</t>
  </si>
  <si>
    <t>Se superó la meta programada para el 2do trimestre</t>
  </si>
  <si>
    <t>Se superó la meta programada para el 3er trimestre</t>
  </si>
  <si>
    <t>Reporte ejecución Bogdata corte 30-09-2025</t>
  </si>
  <si>
    <t>La meta alcanzó un 91,40%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</si>
  <si>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</si>
  <si>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</si>
  <si>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</si>
  <si>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</si>
  <si>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</si>
  <si>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74,92%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</si>
  <si>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</si>
  <si>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</si>
  <si>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</si>
  <si>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</si>
  <si>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</si>
  <si>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No  superó la meta programada para el 1er trimestre</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</si>
  <si>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</si>
  <si>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</si>
  <si>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</si>
  <si>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53,61% del programado para la vigencia.</t>
  </si>
  <si>
    <t>5</t>
  </si>
  <si>
    <t>Girar mínimo el 51% del presupuesto total  disponible de inversión directa de la vigencia</t>
  </si>
  <si>
    <t>Porcentaje de giros acumulados de inversión directa de la vigencia</t>
  </si>
  <si>
    <t>(Giros acumulados de inversión directa de la vigencia/ Presupuesto disponible de inversión directa de la vigencia)*100</t>
  </si>
  <si>
    <t>57.24% (Corte a 31 de diciembre de 2021)</t>
  </si>
  <si>
    <t>Los giros son muy bajos debido a que, actualmente, no se ha iniciado el proceso de contratación por la falta de equipos de trabajo</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</si>
  <si>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</si>
  <si>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</si>
  <si>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</si>
  <si>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47,06%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</si>
  <si>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</si>
  <si>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</si>
  <si>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</si>
  <si>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</si>
  <si>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</si>
  <si>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</si>
  <si>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</si>
  <si>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</si>
  <si>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</si>
  <si>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</si>
  <si>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</si>
  <si>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75,52%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</si>
  <si>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</si>
  <si>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</si>
  <si>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</si>
  <si>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</si>
  <si>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</si>
  <si>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</si>
  <si>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realizó el avance cualitativo al 94 de los proyectos del FDL</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</si>
  <si>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</si>
  <si>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</si>
  <si>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</si>
  <si>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100,00% del programado para la vigencia.</t>
  </si>
  <si>
    <t>Inspección, Vigilancia y Control</t>
  </si>
  <si>
    <t>8</t>
  </si>
  <si>
    <t>Realizar 12 actividades de prevención en materia de convivencia relacionadas con artículos pirotécnicos y sustancias peligrosas (socialización, sensibilización, charlas pedagógicas)</t>
  </si>
  <si>
    <t>Actividades de prevención en materia de convivencia relacionadas con artículos pirotécnicos y sustancias peligrosas (socialización, sensibilización, charlas pedagógicas)</t>
  </si>
  <si>
    <t>Número de actividades de prevención en materia de convivencia  relacionadas con artículos pirotécnicos y sustancias peligrosas (socialización, sensibilización, charlas pedagógicas)</t>
  </si>
  <si>
    <t>Resultados a 31 de diciembre de 2024</t>
  </si>
  <si>
    <t>Suma</t>
  </si>
  <si>
    <t>Formatos de evidencia de reunión diligenciados</t>
  </si>
  <si>
    <t>Registros de Alcaldía Local</t>
  </si>
  <si>
    <t>Alcaldía Local - Gestión Policiva</t>
  </si>
  <si>
    <t>Dirección para la Gestión Policiva</t>
  </si>
  <si>
    <t xml:space="preserve">Se cumplio la meta de Actas de operativos </t>
  </si>
  <si>
    <t xml:space="preserve">actas </t>
  </si>
  <si>
    <t>En cumplimiento de la meta se realizaron las siguientes actividades artículos pirotécnicos y sustancias peligrosas:
1. 03-06-2025 vereda Raizal corregimiento Betania.
2.  07-06-2025 corregimiento san Juan
3. 10-06-2025 corregimiento nazareth</t>
  </si>
  <si>
    <t>Actas de evidencia reunión</t>
  </si>
  <si>
    <t>En cumplimiento de la meta, se realizaron las actividades que a continuación se detallan:
1. 10 JULIO 2025 Actividad de prevención en materia de convivencia relacionada con artículos pirotécnicos y sustancias peligrosas - Raizal. Betanía - Peñaliza.
2. 15 AGOSTO 2025 Actividad de prevención en materia de convivencia relacionada con artículos pirotécnicos y sustancias peligrosas - Nazareth
3. 14 SEPTIEMBRE 2025 Comportamientos que afectan la integridad y seguridad de las personas - Corregimiento de San Juan</t>
  </si>
  <si>
    <t>Actas evidencia de reunión</t>
  </si>
  <si>
    <t>La meta alcanzó un 75,00% del programado para la vigencia.</t>
  </si>
  <si>
    <t>9</t>
  </si>
  <si>
    <t>Realizar 18 actividades de prevención (socialización, sensibilización, charlas pedagógicas) del Código Nacional de Policía Ley 1801 de 2016 (2018) y métodos alternativos de resolución de conflictos a los habitantes de la localidad</t>
  </si>
  <si>
    <t>Actividades de prevención (socialización, sensibilización, charlas pedagógicas) del código nacional de policía Ley 1801 de 2016 (2018) y métodos alternativos de resolución de conflictos a los habitantes de la localidad</t>
  </si>
  <si>
    <t>Número de prevención (socialización, sensibilización, charlas pedagógicas) del código nacional de policía Ley 1801 de 2016 (2018) y métodos alternativos de resolución de conflictos a los habitantes de la localidad</t>
  </si>
  <si>
    <t>Actividades de prevención (socialización, sensibilización, charlas pedagógicas) del Código Nacional de Policía Ley 1801 de 2016 (2018) y métodos alternativos de resolución de conflictos a los habitantes de la localidad</t>
  </si>
  <si>
    <t xml:space="preserve">Actas de operativos </t>
  </si>
  <si>
    <t xml:space="preserve">Actas </t>
  </si>
  <si>
    <t>En cumplimiento de la meta se realizarón las siguientes actividades de Código Nacional de Policía Ley 1801 de 2016 (2018):
1. 06 de mayo vereda Tunal Alto
2. 10 de mayo vereda la Unión
3. 14 de mayo Nazareth
4. 23 de abril Betania
5. 25 de mayo san juan</t>
  </si>
  <si>
    <t>En cumplimiento de la meta, se realizarón las siguientes actividades:
1. 14 de julio Métodos alternativos de regulación de conflictos corregimiento Nazareth
2. 27 de julio Sesión mesa victimas sumapaz corregimiento san juan
3. 30 de julio Abordaje de conflictividad escolar Colegio Jaime Garzón 
4. 29 de agosto sensibilización ley 1801 de 2018 San Juan
5. 29 de agosto sensibilización ley 1801-2016 Vereda la Unión
6. 03 de septiembre Charla pedagogica ley 1801 Vereda Betanía y el raizal</t>
  </si>
  <si>
    <t>La meta alcanzó un 77,78% del programado para la vigencia.</t>
  </si>
  <si>
    <t>10</t>
  </si>
  <si>
    <t>Realizar 15 actividades de prevención (socialización, sensibilización, charlas pedagógicas, orientación personalizada) en materia de minería, medio ambiente y relación con los animales</t>
  </si>
  <si>
    <t>Actividades de prevención (socialización, sensibilización, charlas pedagógicas, orientación personalizada) en materia de minería, medio ambiente y relación con los animales</t>
  </si>
  <si>
    <t>Número de actividades de prevención (socialización, sensibilización, charlas pedagógicas, orientación personalizada) en materia de minería, medio ambiente y relación con los animales</t>
  </si>
  <si>
    <t>En cumplimiento de la meta se realizarón las siguientes actividades relacionadas con charlas pedagógicas relación con la mineria, medio ambiente y relación con animales.
1. 14 de mayo vereda peñaliza, raizal
2. 16 de mayo Betania
3. 23 de abril Nazareth
4. 30 de abril San Juan</t>
  </si>
  <si>
    <t>En cumplimiento de la meta, se reportan las siguientes actividades:
1. 24 de julio  Tenencia responsable de mascotas corregimiento Nazareth
2. 05 de agosto de 2025 Socialización comportamientos contrarios a la preservación del agua vereda san Juan
3. 14 de agosto  Actividad de prevención medio ambiente, mineria y relación con los animales corregimiento Betanía
4. 23 de agosto de 2025 Actividad de prevención en materia de medio ambiente, minería y relación con los animales corregimiento de Nazareth</t>
  </si>
  <si>
    <t>La meta alcanzó un 73,33%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</si>
  <si>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</si>
  <si>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</si>
  <si>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</si>
  <si>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</si>
  <si>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</si>
  <si>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</si>
  <si>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</si>
  <si>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</si>
  <si>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</si>
  <si>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</si>
  <si>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</si>
  <si>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</si>
  <si>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</si>
  <si>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</si>
  <si>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96%
Reporte consumo de agua y energía: información al día con corte a 30 de abril de 2025
Reporte consumo de papel: información al día con corte a 30 de mayo de 2025
Reporte ciclistas: No aplica por el tipo de localidad</t>
  </si>
  <si>
    <t>Reporte meta ambiental de la OAP</t>
  </si>
  <si>
    <t>No programada</t>
  </si>
  <si>
    <t>La meta alcanzó un 60,00%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</si>
  <si>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</si>
  <si>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</si>
  <si>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</si>
  <si>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</si>
  <si>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</si>
  <si>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</si>
  <si>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</si>
  <si>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</si>
  <si>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</si>
  <si>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</si>
  <si>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</si>
  <si>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</si>
  <si>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</si>
  <si>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Sumapaz, cumplió 104 requisitos, de los 104 que debe cumplir para el tirmestre relacionado.</t>
  </si>
  <si>
    <t>Reporte meta de la Oficina asesora de comunicaciones para las alcaldias locales segun radicado No 20251400254903</t>
  </si>
  <si>
    <t>La Alcaldía Local de Sumapaz, cumplió 104 requisitos, de los 104 que debe cumplir para el trimestre relacionado. (Se nota adición de ítems a la matriz en varias subsecciones que suman un total de 115 ítems, pero que no suma ni resta a los requsitos estandar)</t>
  </si>
  <si>
    <t>Reporte de la Oficina Asesora de Comunicaciones a través de memorando 20251400383993.</t>
  </si>
  <si>
    <t>La meta alcanzó un 67,00%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</si>
  <si>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</si>
  <si>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</si>
  <si>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</si>
  <si>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</si>
  <si>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</si>
  <si>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</si>
  <si>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alcadia local realizo la actividad programada para el periodo </t>
  </si>
  <si>
    <t xml:space="preserve">Listado de asistencia, PPT y registro fotografico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</si>
  <si>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</si>
  <si>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</si>
  <si>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</si>
  <si>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</si>
  <si>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</si>
  <si>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</si>
  <si>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</si>
  <si>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</si>
  <si>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</si>
  <si>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</si>
  <si>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</si>
  <si>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La alcaldia local dio respuesta a 9 requeirmientos de los 13 instaurados durante el periodo</t>
  </si>
  <si>
    <t xml:space="preserve">Segun radicado No 20252200138593 de la Oficina de atencion a la Ciudadania </t>
  </si>
  <si>
    <t xml:space="preserve">Meta no programada </t>
  </si>
  <si>
    <t>Meta no programada</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</si>
  <si>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</si>
  <si>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</si>
  <si>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</si>
  <si>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</si>
  <si>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</si>
  <si>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</si>
  <si>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</si>
  <si>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</si>
  <si>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La alcaldia local dio respuesta a 5 requeirmientos de los 11 instaurados durante el periodo</t>
  </si>
  <si>
    <t>Segun radicado No 20252200138593 de la Oficina de atencion a la Ciudadania y Radicado No. 20254600193883
Fecha: 23-05-2025</t>
  </si>
  <si>
    <t xml:space="preserve">Dio respuesta a 12 requerimientos de los 19 instaurados para el periodo </t>
  </si>
  <si>
    <t>Reporte meta de la Oficina Atencion al ciudadano sobre requerimientos ciudadanos  para las alcaldias locales segun radicado No 20254600258433</t>
  </si>
  <si>
    <t>Se repondió oportunamente 31 de 36 requerimientos.</t>
  </si>
  <si>
    <t>Reporte de la Subsecretaría de Gestión Institucional - Servicio de Atención a la Ciudadanía a través de memorando 20254600383923.</t>
  </si>
  <si>
    <t>La meta alcanzó un 48,64%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</si>
  <si>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</si>
  <si>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</si>
  <si>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</si>
  <si>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</si>
  <si>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</si>
  <si>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</si>
  <si>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</si>
  <si>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</si>
  <si>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Seguridad de la información les realizó observaciones, no entregaron la matriz de activos.</t>
  </si>
  <si>
    <t>Reporte meta de la DTI no sobre matriz de activos segun radicado No 20254400249683</t>
  </si>
  <si>
    <t>La meta alcanzó un 70,00%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</si>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</sst>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12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4"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4" fillId="10" borderId="1" xfId="0" applyFont="1" applyFill="1" applyBorder="1" applyAlignment="1">
      <alignment horizontal="justify" vertical="center" wrapText="1"/>
    </xf>
    <xf numFmtId="0" fontId="4" fillId="10" borderId="1" xfId="0" applyFont="1" applyFill="1" applyBorder="1" applyAlignment="1">
      <alignment horizontal="center" vertical="center" wrapText="1"/>
    </xf>
    <xf numFmtId="9" fontId="4" fillId="10" borderId="1" xfId="0" applyNumberFormat="1" applyFont="1" applyFill="1" applyBorder="1" applyAlignment="1">
      <alignment horizontal="center" vertical="center" wrapText="1"/>
    </xf>
    <xf numFmtId="1" fontId="4" fillId="0" borderId="1" xfId="0" applyNumberFormat="1" applyFont="1" applyBorder="1" applyAlignment="1">
      <alignment horizontal="justify" vertical="center" wrapText="1"/>
    </xf>
    <xf numFmtId="9" fontId="4" fillId="0" borderId="1" xfId="1" applyFont="1" applyBorder="1" applyAlignment="1">
      <alignment horizontal="justify" vertical="center" wrapText="1"/>
    </xf>
    <xf numFmtId="0" fontId="4" fillId="0" borderId="0" xfId="0" applyFont="1" applyAlignment="1">
      <alignment horizontal="justify" vertical="center" wrapText="1"/>
    </xf>
    <xf numFmtId="0" fontId="4" fillId="0" borderId="1" xfId="0" applyFont="1" applyBorder="1" applyAlignment="1">
      <alignment horizontal="left" vertical="center" wrapText="1"/>
    </xf>
    <xf numFmtId="0" fontId="4" fillId="0" borderId="11" xfId="0" applyFont="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1" fontId="4" fillId="9" borderId="1" xfId="0" applyNumberFormat="1" applyFont="1" applyFill="1" applyBorder="1" applyAlignment="1">
      <alignment horizontal="center" vertical="center" wrapText="1"/>
    </xf>
    <xf numFmtId="10" fontId="4"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65" fontId="1" fillId="0" borderId="1" xfId="0" applyNumberFormat="1" applyFont="1" applyBorder="1" applyAlignment="1">
      <alignment horizontal="justify" vertical="center" wrapText="1"/>
    </xf>
    <xf numFmtId="10" fontId="6" fillId="3" borderId="1" xfId="0" applyNumberFormat="1" applyFont="1" applyFill="1" applyBorder="1" applyAlignment="1">
      <alignment wrapText="1"/>
    </xf>
    <xf numFmtId="0" fontId="1" fillId="9" borderId="1" xfId="0" applyFont="1" applyFill="1" applyBorder="1" applyAlignment="1">
      <alignment horizontal="justify" vertical="center" wrapText="1"/>
    </xf>
    <xf numFmtId="10" fontId="8" fillId="2" borderId="1" xfId="0" applyNumberFormat="1" applyFont="1" applyFill="1" applyBorder="1" applyAlignment="1">
      <alignment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10"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9" fontId="4" fillId="0" borderId="1" xfId="1" applyFont="1" applyBorder="1" applyAlignment="1">
      <alignment horizontal="right" vertical="center" wrapText="1"/>
    </xf>
    <xf numFmtId="164" fontId="4"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6" fontId="1" fillId="0" borderId="1" xfId="0" applyNumberFormat="1" applyFont="1" applyBorder="1" applyAlignment="1">
      <alignment horizontal="right" vertical="center" wrapText="1"/>
    </xf>
    <xf numFmtId="166" fontId="4"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0" fontId="16" fillId="0" borderId="1" xfId="0" applyFont="1" applyBorder="1" applyAlignment="1">
      <alignment vertical="center" wrapText="1"/>
    </xf>
    <xf numFmtId="10" fontId="4" fillId="0" borderId="1" xfId="1" applyNumberFormat="1" applyFont="1" applyBorder="1" applyAlignment="1">
      <alignment horizontal="justify" vertical="center" wrapText="1"/>
    </xf>
    <xf numFmtId="164" fontId="6" fillId="3" borderId="1" xfId="1" applyNumberFormat="1" applyFont="1" applyFill="1" applyBorder="1" applyAlignment="1">
      <alignment wrapText="1"/>
    </xf>
    <xf numFmtId="164" fontId="8" fillId="2" borderId="1" xfId="0" applyNumberFormat="1" applyFont="1" applyFill="1" applyBorder="1" applyAlignment="1">
      <alignment wrapText="1"/>
    </xf>
    <xf numFmtId="9" fontId="4" fillId="0" borderId="1" xfId="0" applyNumberFormat="1"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2" fontId="4" fillId="0" borderId="1" xfId="0" applyNumberFormat="1"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303315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4"/>
  <sheetViews>
    <sheetView tabSelected="1" zoomScale="90" zoomScaleNormal="90" workbookViewId="0">
      <selection activeCell="AK1" sqref="AK1"/>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5.140625" style="1" customWidth="1"/>
    <col min="9" max="9" width="12.7109375" style="1" customWidth="1"/>
    <col min="10" max="10" width="18.42578125" style="1" customWidth="1"/>
    <col min="11" max="11" width="22.570312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8.7109375" style="1" customWidth="1"/>
    <col min="27"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4" customFormat="1" ht="70.5" customHeight="1">
      <c r="A1" s="91" t="s">
        <v>0</v>
      </c>
      <c r="B1" s="92"/>
      <c r="C1" s="92"/>
      <c r="D1" s="92"/>
      <c r="E1" s="92"/>
      <c r="F1" s="92"/>
      <c r="G1" s="92"/>
      <c r="H1" s="92"/>
      <c r="I1" s="92"/>
      <c r="J1" s="92"/>
      <c r="K1" s="92"/>
      <c r="L1" s="93" t="s">
        <v>1</v>
      </c>
      <c r="M1" s="93"/>
      <c r="N1" s="93"/>
      <c r="O1" s="93"/>
      <c r="P1" s="93"/>
    </row>
    <row r="2" spans="1:45" s="36" customFormat="1" ht="23.45" customHeight="1">
      <c r="A2" s="95" t="s">
        <v>2</v>
      </c>
      <c r="B2" s="96"/>
      <c r="C2" s="96"/>
      <c r="D2" s="96"/>
      <c r="E2" s="96"/>
      <c r="F2" s="96"/>
      <c r="G2" s="96"/>
      <c r="H2" s="96"/>
      <c r="I2" s="96"/>
      <c r="J2" s="96"/>
      <c r="K2" s="96"/>
      <c r="L2" s="35"/>
      <c r="M2" s="35"/>
      <c r="N2" s="35"/>
      <c r="O2" s="35"/>
      <c r="P2" s="35"/>
    </row>
    <row r="3" spans="1:45" s="34" customFormat="1"/>
    <row r="4" spans="1:45" s="34" customFormat="1" ht="29.1" customHeight="1">
      <c r="F4" s="87" t="s">
        <v>3</v>
      </c>
      <c r="G4" s="88"/>
      <c r="H4" s="88"/>
      <c r="I4" s="88"/>
      <c r="J4" s="88"/>
      <c r="K4" s="89"/>
    </row>
    <row r="5" spans="1:45" s="34" customFormat="1" ht="15" customHeight="1">
      <c r="F5" s="2" t="s">
        <v>4</v>
      </c>
      <c r="G5" s="2" t="s">
        <v>5</v>
      </c>
      <c r="H5" s="87" t="s">
        <v>6</v>
      </c>
      <c r="I5" s="88"/>
      <c r="J5" s="88"/>
      <c r="K5" s="89"/>
    </row>
    <row r="6" spans="1:45" s="34" customFormat="1">
      <c r="F6" s="33">
        <v>1</v>
      </c>
      <c r="G6" s="33" t="s">
        <v>7</v>
      </c>
      <c r="H6" s="90" t="s">
        <v>8</v>
      </c>
      <c r="I6" s="90"/>
      <c r="J6" s="90"/>
      <c r="K6" s="90"/>
    </row>
    <row r="7" spans="1:45" s="34" customFormat="1" ht="32.25" customHeight="1">
      <c r="F7" s="33">
        <v>2</v>
      </c>
      <c r="G7" s="33" t="s">
        <v>9</v>
      </c>
      <c r="H7" s="90" t="s">
        <v>10</v>
      </c>
      <c r="I7" s="90"/>
      <c r="J7" s="90"/>
      <c r="K7" s="90"/>
    </row>
    <row r="8" spans="1:45" s="34" customFormat="1" ht="64.5" customHeight="1">
      <c r="F8" s="33">
        <v>3</v>
      </c>
      <c r="G8" s="33" t="s">
        <v>11</v>
      </c>
      <c r="H8" s="90" t="s">
        <v>12</v>
      </c>
      <c r="I8" s="90"/>
      <c r="J8" s="90"/>
      <c r="K8" s="90"/>
    </row>
    <row r="9" spans="1:45" s="34" customFormat="1" ht="42.75" customHeight="1">
      <c r="F9" s="82">
        <v>4</v>
      </c>
      <c r="G9" s="82" t="s">
        <v>13</v>
      </c>
      <c r="H9" s="97" t="s">
        <v>14</v>
      </c>
      <c r="I9" s="97"/>
      <c r="J9" s="97"/>
      <c r="K9" s="97"/>
    </row>
    <row r="10" spans="1:45" s="34" customFormat="1" ht="39" customHeight="1">
      <c r="F10" s="81">
        <v>5</v>
      </c>
      <c r="G10" s="81" t="s">
        <v>15</v>
      </c>
      <c r="H10" s="98" t="s">
        <v>16</v>
      </c>
      <c r="I10" s="98"/>
      <c r="J10" s="98"/>
      <c r="K10" s="98"/>
    </row>
    <row r="11" spans="1:45" s="34" customFormat="1"/>
    <row r="12" spans="1:45" ht="14.45" customHeight="1">
      <c r="A12" s="86" t="s">
        <v>17</v>
      </c>
      <c r="B12" s="86"/>
      <c r="C12" s="86" t="s">
        <v>18</v>
      </c>
      <c r="D12" s="86" t="s">
        <v>19</v>
      </c>
      <c r="E12" s="86"/>
      <c r="F12" s="86"/>
      <c r="G12" s="94" t="s">
        <v>20</v>
      </c>
      <c r="H12" s="94"/>
      <c r="I12" s="94"/>
      <c r="J12" s="94"/>
      <c r="K12" s="94"/>
      <c r="L12" s="94"/>
      <c r="M12" s="94"/>
      <c r="N12" s="94"/>
      <c r="O12" s="94"/>
      <c r="P12" s="94"/>
      <c r="Q12" s="94"/>
      <c r="R12" s="86" t="s">
        <v>21</v>
      </c>
      <c r="S12" s="86"/>
      <c r="T12" s="86"/>
      <c r="U12" s="86"/>
      <c r="V12" s="99" t="s">
        <v>22</v>
      </c>
      <c r="W12" s="100"/>
      <c r="X12" s="100"/>
      <c r="Y12" s="100"/>
      <c r="Z12" s="101"/>
      <c r="AA12" s="105" t="s">
        <v>23</v>
      </c>
      <c r="AB12" s="106"/>
      <c r="AC12" s="106"/>
      <c r="AD12" s="106"/>
      <c r="AE12" s="107"/>
      <c r="AF12" s="111" t="s">
        <v>24</v>
      </c>
      <c r="AG12" s="112"/>
      <c r="AH12" s="112"/>
      <c r="AI12" s="112"/>
      <c r="AJ12" s="113"/>
      <c r="AK12" s="117" t="s">
        <v>25</v>
      </c>
      <c r="AL12" s="118"/>
      <c r="AM12" s="118"/>
      <c r="AN12" s="118"/>
      <c r="AO12" s="119"/>
      <c r="AP12" s="123" t="s">
        <v>26</v>
      </c>
      <c r="AQ12" s="124"/>
      <c r="AR12" s="124"/>
      <c r="AS12" s="125"/>
    </row>
    <row r="13" spans="1:45" ht="14.45" customHeight="1">
      <c r="A13" s="86"/>
      <c r="B13" s="86"/>
      <c r="C13" s="86"/>
      <c r="D13" s="86"/>
      <c r="E13" s="86"/>
      <c r="F13" s="86"/>
      <c r="G13" s="94"/>
      <c r="H13" s="94"/>
      <c r="I13" s="94"/>
      <c r="J13" s="94"/>
      <c r="K13" s="94"/>
      <c r="L13" s="94"/>
      <c r="M13" s="94"/>
      <c r="N13" s="94"/>
      <c r="O13" s="94"/>
      <c r="P13" s="94"/>
      <c r="Q13" s="94"/>
      <c r="R13" s="86"/>
      <c r="S13" s="86"/>
      <c r="T13" s="86"/>
      <c r="U13" s="86"/>
      <c r="V13" s="102"/>
      <c r="W13" s="103"/>
      <c r="X13" s="103"/>
      <c r="Y13" s="103"/>
      <c r="Z13" s="104"/>
      <c r="AA13" s="108"/>
      <c r="AB13" s="109"/>
      <c r="AC13" s="109"/>
      <c r="AD13" s="109"/>
      <c r="AE13" s="110"/>
      <c r="AF13" s="114"/>
      <c r="AG13" s="115"/>
      <c r="AH13" s="115"/>
      <c r="AI13" s="115"/>
      <c r="AJ13" s="116"/>
      <c r="AK13" s="120"/>
      <c r="AL13" s="121"/>
      <c r="AM13" s="121"/>
      <c r="AN13" s="121"/>
      <c r="AO13" s="122"/>
      <c r="AP13" s="126"/>
      <c r="AQ13" s="127"/>
      <c r="AR13" s="127"/>
      <c r="AS13" s="128"/>
    </row>
    <row r="14" spans="1:45" ht="45">
      <c r="A14" s="2" t="s">
        <v>27</v>
      </c>
      <c r="B14" s="2" t="s">
        <v>28</v>
      </c>
      <c r="C14" s="86"/>
      <c r="D14" s="2" t="s">
        <v>29</v>
      </c>
      <c r="E14" s="2" t="s">
        <v>30</v>
      </c>
      <c r="F14" s="2" t="s">
        <v>31</v>
      </c>
      <c r="G14" s="19" t="s">
        <v>32</v>
      </c>
      <c r="H14" s="19" t="s">
        <v>33</v>
      </c>
      <c r="I14" s="19" t="s">
        <v>34</v>
      </c>
      <c r="J14" s="19" t="s">
        <v>35</v>
      </c>
      <c r="K14" s="19" t="s">
        <v>36</v>
      </c>
      <c r="L14" s="19" t="s">
        <v>37</v>
      </c>
      <c r="M14" s="19" t="s">
        <v>38</v>
      </c>
      <c r="N14" s="19" t="s">
        <v>39</v>
      </c>
      <c r="O14" s="19" t="s">
        <v>40</v>
      </c>
      <c r="P14" s="19" t="s">
        <v>41</v>
      </c>
      <c r="Q14" s="19" t="s">
        <v>42</v>
      </c>
      <c r="R14" s="2" t="s">
        <v>43</v>
      </c>
      <c r="S14" s="2" t="s">
        <v>44</v>
      </c>
      <c r="T14" s="2" t="s">
        <v>45</v>
      </c>
      <c r="U14" s="2" t="s">
        <v>46</v>
      </c>
      <c r="V14" s="3" t="s">
        <v>47</v>
      </c>
      <c r="W14" s="3" t="s">
        <v>48</v>
      </c>
      <c r="X14" s="3" t="s">
        <v>49</v>
      </c>
      <c r="Y14" s="3" t="s">
        <v>50</v>
      </c>
      <c r="Z14" s="3" t="s">
        <v>51</v>
      </c>
      <c r="AA14" s="22" t="s">
        <v>47</v>
      </c>
      <c r="AB14" s="22" t="s">
        <v>48</v>
      </c>
      <c r="AC14" s="22" t="s">
        <v>49</v>
      </c>
      <c r="AD14" s="22" t="s">
        <v>50</v>
      </c>
      <c r="AE14" s="22" t="s">
        <v>51</v>
      </c>
      <c r="AF14" s="23" t="s">
        <v>47</v>
      </c>
      <c r="AG14" s="23" t="s">
        <v>48</v>
      </c>
      <c r="AH14" s="23" t="s">
        <v>49</v>
      </c>
      <c r="AI14" s="23" t="s">
        <v>50</v>
      </c>
      <c r="AJ14" s="23" t="s">
        <v>51</v>
      </c>
      <c r="AK14" s="24" t="s">
        <v>47</v>
      </c>
      <c r="AL14" s="24" t="s">
        <v>48</v>
      </c>
      <c r="AM14" s="24" t="s">
        <v>49</v>
      </c>
      <c r="AN14" s="24" t="s">
        <v>50</v>
      </c>
      <c r="AO14" s="24" t="s">
        <v>51</v>
      </c>
      <c r="AP14" s="4" t="s">
        <v>47</v>
      </c>
      <c r="AQ14" s="4" t="s">
        <v>48</v>
      </c>
      <c r="AR14" s="4" t="s">
        <v>49</v>
      </c>
      <c r="AS14" s="4" t="s">
        <v>50</v>
      </c>
    </row>
    <row r="15" spans="1:45" s="29" customFormat="1" ht="150">
      <c r="A15" s="21">
        <v>4</v>
      </c>
      <c r="B15" s="20" t="s">
        <v>52</v>
      </c>
      <c r="C15" s="20" t="s">
        <v>53</v>
      </c>
      <c r="D15" s="25" t="s">
        <v>54</v>
      </c>
      <c r="E15" s="20" t="s">
        <v>55</v>
      </c>
      <c r="F15" s="20" t="s">
        <v>56</v>
      </c>
      <c r="G15" s="20" t="s">
        <v>57</v>
      </c>
      <c r="H15" s="20" t="s">
        <v>58</v>
      </c>
      <c r="I15" s="30" t="s">
        <v>59</v>
      </c>
      <c r="J15" s="20" t="s">
        <v>60</v>
      </c>
      <c r="K15" s="20" t="s">
        <v>61</v>
      </c>
      <c r="L15" s="31">
        <v>0</v>
      </c>
      <c r="M15" s="31">
        <v>0.1</v>
      </c>
      <c r="N15" s="31">
        <v>0.2</v>
      </c>
      <c r="O15" s="31">
        <v>0.4</v>
      </c>
      <c r="P15" s="31">
        <f t="shared" ref="P15:P21" si="0">O15</f>
        <v>0.4</v>
      </c>
      <c r="Q15" s="20" t="s">
        <v>62</v>
      </c>
      <c r="R15" s="20" t="s">
        <v>63</v>
      </c>
      <c r="S15" s="20" t="s">
        <v>64</v>
      </c>
      <c r="T15" s="20" t="s">
        <v>65</v>
      </c>
      <c r="U15" s="20" t="s">
        <v>66</v>
      </c>
      <c r="V15" s="58">
        <f t="shared" ref="V15:V24" si="1">L15</f>
        <v>0</v>
      </c>
      <c r="W15" s="60">
        <v>0</v>
      </c>
      <c r="X15" s="60">
        <f>IFERROR(IF(W15/V15&gt;100%,100%,W15/V15),0)</f>
        <v>0</v>
      </c>
      <c r="Y15" s="20" t="s">
        <v>67</v>
      </c>
      <c r="Z15" s="20" t="s">
        <v>68</v>
      </c>
      <c r="AA15" s="31">
        <f t="shared" ref="AA15:AA24" si="2">M15</f>
        <v>0.1</v>
      </c>
      <c r="AB15" s="53">
        <v>3.9E-2</v>
      </c>
      <c r="AC15" s="53">
        <f>IFERROR(IF(AB15/AA15&gt;100%,100%,AB15/AA15),0)</f>
        <v>0.38999999999999996</v>
      </c>
      <c r="AD15" s="20" t="s">
        <v>69</v>
      </c>
      <c r="AE15" s="20" t="s">
        <v>70</v>
      </c>
      <c r="AF15" s="58">
        <f t="shared" ref="AF15:AF24" si="3">N15</f>
        <v>0.2</v>
      </c>
      <c r="AG15" s="60">
        <v>0.04</v>
      </c>
      <c r="AH15" s="60">
        <f>IFERROR(IF(AG15/AF15&gt;100%,100%,AG15/AF15),0)</f>
        <v>0.19999999999999998</v>
      </c>
      <c r="AI15" s="20" t="s">
        <v>71</v>
      </c>
      <c r="AJ15" s="20" t="s">
        <v>72</v>
      </c>
      <c r="AK15" s="31">
        <f t="shared" ref="AK15:AK24" si="4">O15</f>
        <v>0.4</v>
      </c>
      <c r="AL15" s="20"/>
      <c r="AM15" s="54">
        <f>IF(AL15/AK15&gt;100%,100%,AL15/AK15)</f>
        <v>0</v>
      </c>
      <c r="AN15" s="20"/>
      <c r="AO15" s="20"/>
      <c r="AP15" s="61">
        <f>P15</f>
        <v>0.4</v>
      </c>
      <c r="AQ15" s="71">
        <f>IFERROR(MAX(W15,AB15,AG15,AL15),0)</f>
        <v>0.04</v>
      </c>
      <c r="AR15" s="60">
        <f>IFERROR(IF(AQ15/AP15&gt;100%,100%,AQ15/AP15),0)</f>
        <v>9.9999999999999992E-2</v>
      </c>
      <c r="AS15" s="20" t="s">
        <v>73</v>
      </c>
    </row>
    <row r="16" spans="1:45" s="29" customFormat="1" ht="117">
      <c r="A16" s="21">
        <v>3</v>
      </c>
      <c r="B16" s="20" t="s">
        <v>74</v>
      </c>
      <c r="C16" s="20" t="s">
        <v>75</v>
      </c>
      <c r="D16" s="25" t="s">
        <v>76</v>
      </c>
      <c r="E16" s="20" t="s">
        <v>77</v>
      </c>
      <c r="F16" s="20" t="s">
        <v>56</v>
      </c>
      <c r="G16" s="20" t="s">
        <v>78</v>
      </c>
      <c r="H16" s="20" t="s">
        <v>79</v>
      </c>
      <c r="I16" s="20" t="s">
        <v>80</v>
      </c>
      <c r="J16" s="20" t="s">
        <v>60</v>
      </c>
      <c r="K16" s="20" t="s">
        <v>61</v>
      </c>
      <c r="L16" s="31">
        <v>0.12</v>
      </c>
      <c r="M16" s="31">
        <v>0.34</v>
      </c>
      <c r="N16" s="31">
        <v>0.51</v>
      </c>
      <c r="O16" s="31">
        <v>0.68</v>
      </c>
      <c r="P16" s="31">
        <f t="shared" si="0"/>
        <v>0.68</v>
      </c>
      <c r="Q16" s="20" t="s">
        <v>62</v>
      </c>
      <c r="R16" s="20" t="s">
        <v>81</v>
      </c>
      <c r="S16" s="20" t="s">
        <v>82</v>
      </c>
      <c r="T16" s="20" t="s">
        <v>65</v>
      </c>
      <c r="U16" s="20" t="s">
        <v>66</v>
      </c>
      <c r="V16" s="58">
        <f t="shared" si="1"/>
        <v>0.12</v>
      </c>
      <c r="W16" s="60">
        <v>0.24579999999999999</v>
      </c>
      <c r="X16" s="60">
        <f t="shared" ref="X16:X23" si="5">IFERROR(IF(W16/V16&gt;100%,100%,W16/V16),0)</f>
        <v>1</v>
      </c>
      <c r="Y16" s="20" t="s">
        <v>83</v>
      </c>
      <c r="Z16" s="20" t="s">
        <v>84</v>
      </c>
      <c r="AA16" s="31">
        <f t="shared" si="2"/>
        <v>0.34</v>
      </c>
      <c r="AB16" s="53">
        <v>0.41020000000000001</v>
      </c>
      <c r="AC16" s="53">
        <f t="shared" ref="AC16:AC24" si="6">IFERROR(IF(AB16/AA16&gt;100%,100%,AB16/AA16),0)</f>
        <v>1</v>
      </c>
      <c r="AD16" s="20" t="s">
        <v>85</v>
      </c>
      <c r="AE16" s="20" t="s">
        <v>70</v>
      </c>
      <c r="AF16" s="58">
        <f t="shared" si="3"/>
        <v>0.51</v>
      </c>
      <c r="AG16" s="60">
        <v>0.62150000000000005</v>
      </c>
      <c r="AH16" s="60">
        <f t="shared" ref="AH16:AH17" si="7">IFERROR(IF(AG16/AF16&gt;100%,100%,AG16/AF16),0)</f>
        <v>1</v>
      </c>
      <c r="AI16" s="20" t="s">
        <v>86</v>
      </c>
      <c r="AJ16" s="20" t="s">
        <v>87</v>
      </c>
      <c r="AK16" s="31">
        <f t="shared" si="4"/>
        <v>0.68</v>
      </c>
      <c r="AL16" s="20"/>
      <c r="AM16" s="54">
        <f t="shared" ref="AM16:AM24" si="8">IF(AL16/AK16&gt;100%,100%,AL16/AK16)</f>
        <v>0</v>
      </c>
      <c r="AN16" s="20"/>
      <c r="AO16" s="20"/>
      <c r="AP16" s="61">
        <f t="shared" ref="AP16:AP23" si="9">P16</f>
        <v>0.68</v>
      </c>
      <c r="AQ16" s="71">
        <f>IFERROR(MAX(W16,AB16,AG16,AL16),0)</f>
        <v>0.62150000000000005</v>
      </c>
      <c r="AR16" s="60">
        <f t="shared" ref="AR16:AR24" si="10">IFERROR(IF(AQ16/AP16&gt;100%,100%,AQ16/AP16),0)</f>
        <v>0.91397058823529409</v>
      </c>
      <c r="AS16" s="76" t="s">
        <v>88</v>
      </c>
    </row>
    <row r="17" spans="1:45" s="29" customFormat="1" ht="117">
      <c r="A17" s="21">
        <v>3</v>
      </c>
      <c r="B17" s="20" t="s">
        <v>74</v>
      </c>
      <c r="C17" s="20" t="s">
        <v>75</v>
      </c>
      <c r="D17" s="25" t="s">
        <v>89</v>
      </c>
      <c r="E17" s="20" t="s">
        <v>90</v>
      </c>
      <c r="F17" s="20" t="s">
        <v>56</v>
      </c>
      <c r="G17" s="20" t="s">
        <v>91</v>
      </c>
      <c r="H17" s="20" t="s">
        <v>92</v>
      </c>
      <c r="I17" s="20" t="s">
        <v>93</v>
      </c>
      <c r="J17" s="20" t="s">
        <v>60</v>
      </c>
      <c r="K17" s="20" t="s">
        <v>61</v>
      </c>
      <c r="L17" s="31">
        <v>0.12</v>
      </c>
      <c r="M17" s="31">
        <v>0.3</v>
      </c>
      <c r="N17" s="31">
        <v>0.48</v>
      </c>
      <c r="O17" s="31">
        <v>0.65</v>
      </c>
      <c r="P17" s="31">
        <f t="shared" si="0"/>
        <v>0.65</v>
      </c>
      <c r="Q17" s="20" t="s">
        <v>62</v>
      </c>
      <c r="R17" s="20" t="s">
        <v>81</v>
      </c>
      <c r="S17" s="20" t="s">
        <v>82</v>
      </c>
      <c r="T17" s="20" t="s">
        <v>65</v>
      </c>
      <c r="U17" s="20" t="s">
        <v>66</v>
      </c>
      <c r="V17" s="58">
        <f t="shared" si="1"/>
        <v>0.12</v>
      </c>
      <c r="W17" s="60">
        <v>0.15190000000000001</v>
      </c>
      <c r="X17" s="60">
        <f t="shared" si="5"/>
        <v>1</v>
      </c>
      <c r="Y17" s="20" t="s">
        <v>83</v>
      </c>
      <c r="Z17" s="20" t="s">
        <v>84</v>
      </c>
      <c r="AA17" s="31">
        <f t="shared" si="2"/>
        <v>0.3</v>
      </c>
      <c r="AB17" s="53">
        <v>0.31659999999999999</v>
      </c>
      <c r="AC17" s="53">
        <f t="shared" si="6"/>
        <v>1</v>
      </c>
      <c r="AD17" s="20" t="s">
        <v>85</v>
      </c>
      <c r="AE17" s="20" t="s">
        <v>70</v>
      </c>
      <c r="AF17" s="58">
        <f t="shared" si="3"/>
        <v>0.48</v>
      </c>
      <c r="AG17" s="60">
        <v>0.48699999999999999</v>
      </c>
      <c r="AH17" s="60">
        <f t="shared" si="7"/>
        <v>1</v>
      </c>
      <c r="AI17" s="20" t="s">
        <v>86</v>
      </c>
      <c r="AJ17" s="20" t="s">
        <v>87</v>
      </c>
      <c r="AK17" s="31">
        <f t="shared" si="4"/>
        <v>0.65</v>
      </c>
      <c r="AL17" s="20"/>
      <c r="AM17" s="54">
        <f t="shared" si="8"/>
        <v>0</v>
      </c>
      <c r="AN17" s="20"/>
      <c r="AO17" s="20"/>
      <c r="AP17" s="61">
        <f>P17</f>
        <v>0.65</v>
      </c>
      <c r="AQ17" s="71">
        <f>IFERROR(MAX(W17,AB17,AG17,AL17),0)</f>
        <v>0.48699999999999999</v>
      </c>
      <c r="AR17" s="60">
        <f t="shared" si="10"/>
        <v>0.74923076923076914</v>
      </c>
      <c r="AS17" s="76" t="s">
        <v>94</v>
      </c>
    </row>
    <row r="18" spans="1:45" s="29" customFormat="1" ht="232.5">
      <c r="A18" s="21">
        <v>3</v>
      </c>
      <c r="B18" s="20" t="s">
        <v>74</v>
      </c>
      <c r="C18" s="20" t="s">
        <v>75</v>
      </c>
      <c r="D18" s="25" t="s">
        <v>95</v>
      </c>
      <c r="E18" s="20" t="s">
        <v>96</v>
      </c>
      <c r="F18" s="20" t="s">
        <v>56</v>
      </c>
      <c r="G18" s="20" t="s">
        <v>97</v>
      </c>
      <c r="H18" s="20" t="s">
        <v>98</v>
      </c>
      <c r="I18" s="30" t="s">
        <v>99</v>
      </c>
      <c r="J18" s="20" t="s">
        <v>60</v>
      </c>
      <c r="K18" s="20" t="s">
        <v>61</v>
      </c>
      <c r="L18" s="31">
        <v>0.18</v>
      </c>
      <c r="M18" s="31">
        <v>0.35</v>
      </c>
      <c r="N18" s="31">
        <v>0.7</v>
      </c>
      <c r="O18" s="31">
        <v>0.97</v>
      </c>
      <c r="P18" s="31">
        <f t="shared" si="0"/>
        <v>0.97</v>
      </c>
      <c r="Q18" s="20" t="s">
        <v>62</v>
      </c>
      <c r="R18" s="20" t="s">
        <v>81</v>
      </c>
      <c r="S18" s="20" t="s">
        <v>82</v>
      </c>
      <c r="T18" s="20" t="s">
        <v>65</v>
      </c>
      <c r="U18" s="20" t="s">
        <v>66</v>
      </c>
      <c r="V18" s="58">
        <f t="shared" si="1"/>
        <v>0.18</v>
      </c>
      <c r="W18" s="60">
        <v>0.1603</v>
      </c>
      <c r="X18" s="60">
        <f t="shared" si="5"/>
        <v>0.89055555555555554</v>
      </c>
      <c r="Y18" s="20" t="s">
        <v>100</v>
      </c>
      <c r="Z18" s="20" t="s">
        <v>84</v>
      </c>
      <c r="AA18" s="31">
        <f t="shared" si="2"/>
        <v>0.35</v>
      </c>
      <c r="AB18" s="53">
        <v>0.3357</v>
      </c>
      <c r="AC18" s="53">
        <f t="shared" si="6"/>
        <v>0.95914285714285719</v>
      </c>
      <c r="AD18" s="20" t="s">
        <v>101</v>
      </c>
      <c r="AE18" s="20" t="s">
        <v>70</v>
      </c>
      <c r="AF18" s="58">
        <f t="shared" si="3"/>
        <v>0.7</v>
      </c>
      <c r="AG18" s="61">
        <v>0.52</v>
      </c>
      <c r="AH18" s="60">
        <f>IFERROR(IF(AG18/AF18&gt;100%,100%,AG18/AF18),0)</f>
        <v>0.74285714285714288</v>
      </c>
      <c r="AI18" s="20" t="s">
        <v>102</v>
      </c>
      <c r="AJ18" s="20" t="s">
        <v>103</v>
      </c>
      <c r="AK18" s="31">
        <f t="shared" si="4"/>
        <v>0.97</v>
      </c>
      <c r="AL18" s="20"/>
      <c r="AM18" s="54">
        <f t="shared" si="8"/>
        <v>0</v>
      </c>
      <c r="AN18" s="20"/>
      <c r="AO18" s="20"/>
      <c r="AP18" s="61">
        <f t="shared" si="9"/>
        <v>0.97</v>
      </c>
      <c r="AQ18" s="71">
        <f>IFERROR(MAX(W18,AB18,AG18,AL18),0)</f>
        <v>0.52</v>
      </c>
      <c r="AR18" s="60">
        <f t="shared" si="10"/>
        <v>0.53608247422680411</v>
      </c>
      <c r="AS18" s="76" t="s">
        <v>104</v>
      </c>
    </row>
    <row r="19" spans="1:45" s="29" customFormat="1" ht="409.6">
      <c r="A19" s="21">
        <v>3</v>
      </c>
      <c r="B19" s="20" t="s">
        <v>74</v>
      </c>
      <c r="C19" s="20" t="s">
        <v>75</v>
      </c>
      <c r="D19" s="25" t="s">
        <v>105</v>
      </c>
      <c r="E19" s="20" t="s">
        <v>106</v>
      </c>
      <c r="F19" s="20" t="s">
        <v>56</v>
      </c>
      <c r="G19" s="20" t="s">
        <v>107</v>
      </c>
      <c r="H19" s="20" t="s">
        <v>108</v>
      </c>
      <c r="I19" s="30" t="s">
        <v>109</v>
      </c>
      <c r="J19" s="20" t="s">
        <v>60</v>
      </c>
      <c r="K19" s="20" t="s">
        <v>61</v>
      </c>
      <c r="L19" s="31">
        <v>0.05</v>
      </c>
      <c r="M19" s="31">
        <v>0.15</v>
      </c>
      <c r="N19" s="31">
        <v>0.33</v>
      </c>
      <c r="O19" s="31">
        <v>0.51</v>
      </c>
      <c r="P19" s="31">
        <f t="shared" si="0"/>
        <v>0.51</v>
      </c>
      <c r="Q19" s="20" t="s">
        <v>62</v>
      </c>
      <c r="R19" s="20" t="s">
        <v>81</v>
      </c>
      <c r="S19" s="20" t="s">
        <v>82</v>
      </c>
      <c r="T19" s="20" t="s">
        <v>65</v>
      </c>
      <c r="U19" s="20" t="s">
        <v>66</v>
      </c>
      <c r="V19" s="58">
        <f t="shared" si="1"/>
        <v>0.05</v>
      </c>
      <c r="W19" s="60">
        <v>8.5000000000000006E-3</v>
      </c>
      <c r="X19" s="60">
        <f>IFERROR(IF(W19/V19&gt;100%,100%,W19/V19),0)</f>
        <v>0.17</v>
      </c>
      <c r="Y19" s="20" t="s">
        <v>110</v>
      </c>
      <c r="Z19" s="20" t="s">
        <v>84</v>
      </c>
      <c r="AA19" s="31">
        <f t="shared" si="2"/>
        <v>0.15</v>
      </c>
      <c r="AB19" s="53">
        <v>0.1195</v>
      </c>
      <c r="AC19" s="53">
        <f>IFERROR(IF(AB19/AA19&gt;100%,100%,AB19/AA19),0)</f>
        <v>0.79666666666666663</v>
      </c>
      <c r="AD19" s="20" t="s">
        <v>111</v>
      </c>
      <c r="AE19" s="20" t="s">
        <v>70</v>
      </c>
      <c r="AF19" s="58">
        <f t="shared" si="3"/>
        <v>0.33</v>
      </c>
      <c r="AG19" s="61">
        <v>0.24</v>
      </c>
      <c r="AH19" s="60">
        <f>IFERROR(IF(AG19/AF19&gt;100%,100%,AG19/AF19),0)</f>
        <v>0.72727272727272718</v>
      </c>
      <c r="AI19" s="20" t="s">
        <v>112</v>
      </c>
      <c r="AJ19" s="20" t="s">
        <v>113</v>
      </c>
      <c r="AK19" s="31">
        <f t="shared" si="4"/>
        <v>0.51</v>
      </c>
      <c r="AL19" s="20"/>
      <c r="AM19" s="54">
        <f t="shared" si="8"/>
        <v>0</v>
      </c>
      <c r="AN19" s="20"/>
      <c r="AO19" s="20"/>
      <c r="AP19" s="61">
        <f>P19</f>
        <v>0.51</v>
      </c>
      <c r="AQ19" s="71">
        <f>IFERROR(MAX(W19,AB19,AG19,AL19),0)</f>
        <v>0.24</v>
      </c>
      <c r="AR19" s="60">
        <f>IFERROR(IF(AQ19/AP19&gt;100%,100%,AQ19/AP19),0)</f>
        <v>0.47058823529411764</v>
      </c>
      <c r="AS19" s="76" t="s">
        <v>114</v>
      </c>
    </row>
    <row r="20" spans="1:45" s="29" customFormat="1" ht="232.5">
      <c r="A20" s="21">
        <v>3</v>
      </c>
      <c r="B20" s="20" t="s">
        <v>74</v>
      </c>
      <c r="C20" s="20" t="s">
        <v>75</v>
      </c>
      <c r="D20" s="25" t="s">
        <v>115</v>
      </c>
      <c r="E20" s="20" t="s">
        <v>116</v>
      </c>
      <c r="F20" s="20" t="s">
        <v>56</v>
      </c>
      <c r="G20" s="20" t="s">
        <v>117</v>
      </c>
      <c r="H20" s="20" t="s">
        <v>118</v>
      </c>
      <c r="I20" s="20" t="s">
        <v>119</v>
      </c>
      <c r="J20" s="20" t="s">
        <v>120</v>
      </c>
      <c r="K20" s="20" t="s">
        <v>61</v>
      </c>
      <c r="L20" s="31">
        <v>0.97</v>
      </c>
      <c r="M20" s="31">
        <v>0.97</v>
      </c>
      <c r="N20" s="31">
        <v>0.97</v>
      </c>
      <c r="O20" s="31">
        <v>0.97</v>
      </c>
      <c r="P20" s="31">
        <f t="shared" si="0"/>
        <v>0.97</v>
      </c>
      <c r="Q20" s="20" t="s">
        <v>62</v>
      </c>
      <c r="R20" s="20" t="s">
        <v>81</v>
      </c>
      <c r="S20" s="20" t="s">
        <v>121</v>
      </c>
      <c r="T20" s="20" t="s">
        <v>65</v>
      </c>
      <c r="U20" s="20" t="s">
        <v>66</v>
      </c>
      <c r="V20" s="58">
        <f t="shared" si="1"/>
        <v>0.97</v>
      </c>
      <c r="W20" s="60">
        <v>1</v>
      </c>
      <c r="X20" s="60">
        <f t="shared" si="5"/>
        <v>1</v>
      </c>
      <c r="Y20" s="20" t="s">
        <v>122</v>
      </c>
      <c r="Z20" s="20" t="s">
        <v>84</v>
      </c>
      <c r="AA20" s="31">
        <f t="shared" si="2"/>
        <v>0.97</v>
      </c>
      <c r="AB20" s="30">
        <v>0.93</v>
      </c>
      <c r="AC20" s="53">
        <f t="shared" si="6"/>
        <v>0.95876288659793818</v>
      </c>
      <c r="AD20" s="20" t="s">
        <v>123</v>
      </c>
      <c r="AE20" s="20" t="s">
        <v>70</v>
      </c>
      <c r="AF20" s="58">
        <f t="shared" si="3"/>
        <v>0.97</v>
      </c>
      <c r="AG20" s="61">
        <v>1</v>
      </c>
      <c r="AH20" s="60">
        <f>IFERROR(IF(AG20/AF20&gt;100%,100%,AG20/AF20),0)</f>
        <v>1</v>
      </c>
      <c r="AI20" s="20" t="s">
        <v>124</v>
      </c>
      <c r="AJ20" s="20" t="s">
        <v>125</v>
      </c>
      <c r="AK20" s="31">
        <f t="shared" si="4"/>
        <v>0.97</v>
      </c>
      <c r="AL20" s="20"/>
      <c r="AM20" s="54">
        <f t="shared" si="8"/>
        <v>0</v>
      </c>
      <c r="AN20" s="20"/>
      <c r="AO20" s="20"/>
      <c r="AP20" s="61">
        <f t="shared" si="9"/>
        <v>0.97</v>
      </c>
      <c r="AQ20" s="71">
        <f>IFERROR(AVERAGE(W20,AB20,AG20,AL20)*0.75,0)</f>
        <v>0.73250000000000004</v>
      </c>
      <c r="AR20" s="60">
        <f t="shared" si="10"/>
        <v>0.75515463917525782</v>
      </c>
      <c r="AS20" s="76" t="s">
        <v>126</v>
      </c>
    </row>
    <row r="21" spans="1:45" s="29" customFormat="1" ht="315.75">
      <c r="A21" s="21">
        <v>3</v>
      </c>
      <c r="B21" s="20" t="s">
        <v>74</v>
      </c>
      <c r="C21" s="20" t="s">
        <v>75</v>
      </c>
      <c r="D21" s="25" t="s">
        <v>127</v>
      </c>
      <c r="E21" s="20" t="s">
        <v>128</v>
      </c>
      <c r="F21" s="20" t="s">
        <v>129</v>
      </c>
      <c r="G21" s="20" t="s">
        <v>130</v>
      </c>
      <c r="H21" s="20" t="s">
        <v>131</v>
      </c>
      <c r="I21" s="20" t="s">
        <v>132</v>
      </c>
      <c r="J21" s="20" t="s">
        <v>60</v>
      </c>
      <c r="K21" s="20" t="s">
        <v>61</v>
      </c>
      <c r="L21" s="31">
        <v>0.4</v>
      </c>
      <c r="M21" s="31">
        <v>0.7</v>
      </c>
      <c r="N21" s="31">
        <v>0.9</v>
      </c>
      <c r="O21" s="31">
        <v>1</v>
      </c>
      <c r="P21" s="31">
        <f t="shared" si="0"/>
        <v>1</v>
      </c>
      <c r="Q21" s="20" t="s">
        <v>62</v>
      </c>
      <c r="R21" s="20" t="s">
        <v>81</v>
      </c>
      <c r="S21" s="20" t="s">
        <v>121</v>
      </c>
      <c r="T21" s="20" t="s">
        <v>65</v>
      </c>
      <c r="U21" s="20" t="s">
        <v>66</v>
      </c>
      <c r="V21" s="58">
        <f t="shared" si="1"/>
        <v>0.4</v>
      </c>
      <c r="W21" s="61">
        <v>0.94</v>
      </c>
      <c r="X21" s="60">
        <f>IFERROR(IF(W21/V21&gt;100%,100%,W21/V21),0)</f>
        <v>1</v>
      </c>
      <c r="Y21" s="56" t="s">
        <v>133</v>
      </c>
      <c r="Z21" s="20" t="s">
        <v>84</v>
      </c>
      <c r="AA21" s="31">
        <f t="shared" si="2"/>
        <v>0.7</v>
      </c>
      <c r="AB21" s="30">
        <v>0.39</v>
      </c>
      <c r="AC21" s="53">
        <f>IFERROR(IF(AB21/AA21&gt;100%,100%,AB21/AA21),0)</f>
        <v>0.55714285714285716</v>
      </c>
      <c r="AD21" s="20" t="s">
        <v>134</v>
      </c>
      <c r="AE21" s="20" t="s">
        <v>70</v>
      </c>
      <c r="AF21" s="58">
        <f t="shared" si="3"/>
        <v>0.9</v>
      </c>
      <c r="AG21" s="61">
        <v>1</v>
      </c>
      <c r="AH21" s="60">
        <f>IFERROR(IF(AG21/AF21&gt;100%,100%,AG21/AF21),0)</f>
        <v>1</v>
      </c>
      <c r="AI21" s="20" t="s">
        <v>135</v>
      </c>
      <c r="AJ21" s="20" t="s">
        <v>136</v>
      </c>
      <c r="AK21" s="31">
        <f t="shared" si="4"/>
        <v>1</v>
      </c>
      <c r="AL21" s="20"/>
      <c r="AM21" s="54">
        <f t="shared" si="8"/>
        <v>0</v>
      </c>
      <c r="AN21" s="20"/>
      <c r="AO21" s="20"/>
      <c r="AP21" s="59">
        <f t="shared" si="9"/>
        <v>1</v>
      </c>
      <c r="AQ21" s="71">
        <f>IFERROR(MAX(W21,AB21,AG21,AL21),0)</f>
        <v>1</v>
      </c>
      <c r="AR21" s="60">
        <f>IFERROR(IF(AQ21/AP21&gt;100%,100%,AQ21/AP21),0)</f>
        <v>1</v>
      </c>
      <c r="AS21" s="76" t="s">
        <v>137</v>
      </c>
    </row>
    <row r="22" spans="1:45" s="29" customFormat="1" ht="249">
      <c r="A22" s="21">
        <v>4</v>
      </c>
      <c r="B22" s="20" t="s">
        <v>52</v>
      </c>
      <c r="C22" s="20" t="s">
        <v>138</v>
      </c>
      <c r="D22" s="25" t="s">
        <v>139</v>
      </c>
      <c r="E22" s="20" t="s">
        <v>140</v>
      </c>
      <c r="F22" s="20" t="s">
        <v>56</v>
      </c>
      <c r="G22" s="20" t="s">
        <v>141</v>
      </c>
      <c r="H22" s="20" t="s">
        <v>142</v>
      </c>
      <c r="I22" s="20" t="s">
        <v>143</v>
      </c>
      <c r="J22" s="20" t="s">
        <v>144</v>
      </c>
      <c r="K22" s="20" t="s">
        <v>141</v>
      </c>
      <c r="L22" s="28">
        <v>3</v>
      </c>
      <c r="M22" s="28">
        <v>3</v>
      </c>
      <c r="N22" s="28">
        <v>3</v>
      </c>
      <c r="O22" s="28">
        <v>3</v>
      </c>
      <c r="P22" s="28">
        <f>SUM(L22:O22)</f>
        <v>12</v>
      </c>
      <c r="Q22" s="20" t="s">
        <v>62</v>
      </c>
      <c r="R22" s="20" t="s">
        <v>145</v>
      </c>
      <c r="S22" s="20" t="s">
        <v>146</v>
      </c>
      <c r="T22" s="20" t="s">
        <v>147</v>
      </c>
      <c r="U22" s="20" t="s">
        <v>148</v>
      </c>
      <c r="V22" s="62">
        <f t="shared" si="1"/>
        <v>3</v>
      </c>
      <c r="W22" s="59">
        <v>3</v>
      </c>
      <c r="X22" s="60">
        <f t="shared" si="5"/>
        <v>1</v>
      </c>
      <c r="Y22" s="20" t="s">
        <v>149</v>
      </c>
      <c r="Z22" s="20" t="s">
        <v>150</v>
      </c>
      <c r="AA22" s="28">
        <f t="shared" si="2"/>
        <v>3</v>
      </c>
      <c r="AB22" s="20">
        <v>3</v>
      </c>
      <c r="AC22" s="53">
        <f t="shared" si="6"/>
        <v>1</v>
      </c>
      <c r="AD22" s="20" t="s">
        <v>151</v>
      </c>
      <c r="AE22" s="20" t="s">
        <v>152</v>
      </c>
      <c r="AF22" s="62">
        <f t="shared" si="3"/>
        <v>3</v>
      </c>
      <c r="AG22" s="59">
        <v>3</v>
      </c>
      <c r="AH22" s="60">
        <f>IFERROR(IF(AG22/AF22&gt;100%,100%,AG22/AF22),0)</f>
        <v>1</v>
      </c>
      <c r="AI22" s="20" t="s">
        <v>153</v>
      </c>
      <c r="AJ22" s="20" t="s">
        <v>154</v>
      </c>
      <c r="AK22" s="28">
        <f t="shared" si="4"/>
        <v>3</v>
      </c>
      <c r="AL22" s="20"/>
      <c r="AM22" s="54">
        <f t="shared" si="8"/>
        <v>0</v>
      </c>
      <c r="AN22" s="20"/>
      <c r="AO22" s="20"/>
      <c r="AP22" s="59">
        <f t="shared" si="9"/>
        <v>12</v>
      </c>
      <c r="AQ22" s="72">
        <f>IFERROR(W22+AB22+AG22+AL22,0)</f>
        <v>9</v>
      </c>
      <c r="AR22" s="60">
        <f t="shared" si="10"/>
        <v>0.75</v>
      </c>
      <c r="AS22" s="76" t="s">
        <v>155</v>
      </c>
    </row>
    <row r="23" spans="1:45" s="29" customFormat="1" ht="265.5">
      <c r="A23" s="21">
        <v>4</v>
      </c>
      <c r="B23" s="20" t="s">
        <v>52</v>
      </c>
      <c r="C23" s="20" t="s">
        <v>138</v>
      </c>
      <c r="D23" s="25" t="s">
        <v>156</v>
      </c>
      <c r="E23" s="20" t="s">
        <v>157</v>
      </c>
      <c r="F23" s="20" t="s">
        <v>56</v>
      </c>
      <c r="G23" s="20" t="s">
        <v>158</v>
      </c>
      <c r="H23" s="20" t="s">
        <v>159</v>
      </c>
      <c r="I23" s="20" t="s">
        <v>143</v>
      </c>
      <c r="J23" s="20" t="s">
        <v>144</v>
      </c>
      <c r="K23" s="20" t="s">
        <v>160</v>
      </c>
      <c r="L23" s="28">
        <v>3</v>
      </c>
      <c r="M23" s="28">
        <v>5</v>
      </c>
      <c r="N23" s="28">
        <v>6</v>
      </c>
      <c r="O23" s="28">
        <v>4</v>
      </c>
      <c r="P23" s="28">
        <f t="shared" ref="P23:P24" si="11">SUM(L23:O23)</f>
        <v>18</v>
      </c>
      <c r="Q23" s="20" t="s">
        <v>62</v>
      </c>
      <c r="R23" s="20" t="s">
        <v>145</v>
      </c>
      <c r="S23" s="20" t="s">
        <v>146</v>
      </c>
      <c r="T23" s="20" t="s">
        <v>147</v>
      </c>
      <c r="U23" s="20" t="s">
        <v>148</v>
      </c>
      <c r="V23" s="62">
        <f t="shared" si="1"/>
        <v>3</v>
      </c>
      <c r="W23" s="59">
        <v>3</v>
      </c>
      <c r="X23" s="60">
        <f t="shared" si="5"/>
        <v>1</v>
      </c>
      <c r="Y23" s="20" t="s">
        <v>161</v>
      </c>
      <c r="Z23" s="20" t="s">
        <v>162</v>
      </c>
      <c r="AA23" s="28">
        <f t="shared" si="2"/>
        <v>5</v>
      </c>
      <c r="AB23" s="20">
        <v>5</v>
      </c>
      <c r="AC23" s="53">
        <f>IFERROR(IF(AB23/AA23&gt;100%,100%,AB23/AA23),0)</f>
        <v>1</v>
      </c>
      <c r="AD23" s="20" t="s">
        <v>163</v>
      </c>
      <c r="AE23" s="20" t="s">
        <v>152</v>
      </c>
      <c r="AF23" s="62">
        <f t="shared" si="3"/>
        <v>6</v>
      </c>
      <c r="AG23" s="59">
        <v>6</v>
      </c>
      <c r="AH23" s="60">
        <f>IFERROR(IF(AG23/AF23&gt;100%,100%,AG23/AF23),0)</f>
        <v>1</v>
      </c>
      <c r="AI23" s="20" t="s">
        <v>164</v>
      </c>
      <c r="AJ23" s="20" t="s">
        <v>154</v>
      </c>
      <c r="AK23" s="28">
        <f t="shared" si="4"/>
        <v>4</v>
      </c>
      <c r="AL23" s="20"/>
      <c r="AM23" s="54">
        <f t="shared" si="8"/>
        <v>0</v>
      </c>
      <c r="AN23" s="20"/>
      <c r="AO23" s="20"/>
      <c r="AP23" s="59">
        <f t="shared" si="9"/>
        <v>18</v>
      </c>
      <c r="AQ23" s="72">
        <f>IFERROR(W23+AB23+AG23+AL23,0)</f>
        <v>14</v>
      </c>
      <c r="AR23" s="60">
        <f>IFERROR(IF(AQ23/AP23&gt;100%,100%,AQ23/AP23),0)</f>
        <v>0.77777777777777779</v>
      </c>
      <c r="AS23" s="76" t="s">
        <v>165</v>
      </c>
    </row>
    <row r="24" spans="1:45" s="29" customFormat="1" ht="249">
      <c r="A24" s="21">
        <v>4</v>
      </c>
      <c r="B24" s="20" t="s">
        <v>52</v>
      </c>
      <c r="C24" s="20" t="s">
        <v>138</v>
      </c>
      <c r="D24" s="25" t="s">
        <v>166</v>
      </c>
      <c r="E24" s="20" t="s">
        <v>167</v>
      </c>
      <c r="F24" s="20" t="s">
        <v>56</v>
      </c>
      <c r="G24" s="20" t="s">
        <v>168</v>
      </c>
      <c r="H24" s="20" t="s">
        <v>169</v>
      </c>
      <c r="I24" s="20" t="s">
        <v>143</v>
      </c>
      <c r="J24" s="20" t="s">
        <v>144</v>
      </c>
      <c r="K24" s="20" t="s">
        <v>168</v>
      </c>
      <c r="L24" s="28">
        <v>3</v>
      </c>
      <c r="M24" s="28">
        <v>4</v>
      </c>
      <c r="N24" s="28">
        <v>4</v>
      </c>
      <c r="O24" s="28">
        <v>4</v>
      </c>
      <c r="P24" s="28">
        <f t="shared" si="11"/>
        <v>15</v>
      </c>
      <c r="Q24" s="20" t="s">
        <v>62</v>
      </c>
      <c r="R24" s="20" t="s">
        <v>145</v>
      </c>
      <c r="S24" s="20" t="s">
        <v>146</v>
      </c>
      <c r="T24" s="20" t="s">
        <v>147</v>
      </c>
      <c r="U24" s="20" t="s">
        <v>148</v>
      </c>
      <c r="V24" s="62">
        <f t="shared" si="1"/>
        <v>3</v>
      </c>
      <c r="W24" s="59">
        <v>3</v>
      </c>
      <c r="X24" s="60">
        <f>IFERROR(IF(W24/V24&gt;100%,100%,W24/V24),0)</f>
        <v>1</v>
      </c>
      <c r="Y24" s="20" t="s">
        <v>161</v>
      </c>
      <c r="Z24" s="20" t="s">
        <v>162</v>
      </c>
      <c r="AA24" s="28">
        <f t="shared" si="2"/>
        <v>4</v>
      </c>
      <c r="AB24" s="20">
        <v>4</v>
      </c>
      <c r="AC24" s="53">
        <f t="shared" si="6"/>
        <v>1</v>
      </c>
      <c r="AD24" s="20" t="s">
        <v>170</v>
      </c>
      <c r="AE24" s="20" t="s">
        <v>152</v>
      </c>
      <c r="AF24" s="62">
        <f t="shared" si="3"/>
        <v>4</v>
      </c>
      <c r="AG24" s="59">
        <v>4</v>
      </c>
      <c r="AH24" s="60">
        <f>IFERROR(IF(AG24/AF24&gt;100%,100%,AG24/AF24),0)</f>
        <v>1</v>
      </c>
      <c r="AI24" s="20" t="s">
        <v>171</v>
      </c>
      <c r="AJ24" s="20" t="s">
        <v>154</v>
      </c>
      <c r="AK24" s="28">
        <f t="shared" si="4"/>
        <v>4</v>
      </c>
      <c r="AL24" s="20"/>
      <c r="AM24" s="54">
        <f t="shared" si="8"/>
        <v>0</v>
      </c>
      <c r="AN24" s="20"/>
      <c r="AO24" s="20"/>
      <c r="AP24" s="62">
        <f>P24</f>
        <v>15</v>
      </c>
      <c r="AQ24" s="72">
        <f>IFERROR(W24+AB24+AG24+AL24,0)</f>
        <v>11</v>
      </c>
      <c r="AR24" s="60">
        <f t="shared" si="10"/>
        <v>0.73333333333333328</v>
      </c>
      <c r="AS24" s="76" t="s">
        <v>172</v>
      </c>
    </row>
    <row r="25" spans="1:45" s="5" customFormat="1" ht="15.75">
      <c r="A25" s="10"/>
      <c r="B25" s="10"/>
      <c r="C25" s="10"/>
      <c r="D25" s="10"/>
      <c r="E25" s="13" t="s">
        <v>173</v>
      </c>
      <c r="F25" s="10"/>
      <c r="G25" s="10"/>
      <c r="H25" s="10"/>
      <c r="I25" s="10"/>
      <c r="J25" s="10"/>
      <c r="K25" s="10"/>
      <c r="L25" s="14"/>
      <c r="M25" s="14"/>
      <c r="N25" s="14"/>
      <c r="O25" s="14"/>
      <c r="P25" s="14"/>
      <c r="Q25" s="10"/>
      <c r="R25" s="10"/>
      <c r="S25" s="10"/>
      <c r="T25" s="10"/>
      <c r="U25" s="10"/>
      <c r="V25" s="15"/>
      <c r="W25" s="15"/>
      <c r="X25" s="63">
        <f>AVERAGE(X16:X24)*80%</f>
        <v>0.71649382716049392</v>
      </c>
      <c r="Y25" s="14"/>
      <c r="Z25" s="14"/>
      <c r="AA25" s="14"/>
      <c r="AB25" s="14"/>
      <c r="AC25" s="78">
        <f>AVERAGE(AC15:AC24)*80%</f>
        <v>0.69293722140402547</v>
      </c>
      <c r="AD25" s="14"/>
      <c r="AE25" s="14"/>
      <c r="AF25" s="15"/>
      <c r="AG25" s="15"/>
      <c r="AH25" s="63">
        <f>AVERAGE(AH15:AH24)*80%</f>
        <v>0.69361038961038968</v>
      </c>
      <c r="AI25" s="14"/>
      <c r="AJ25" s="14"/>
      <c r="AK25" s="14"/>
      <c r="AL25" s="14"/>
      <c r="AM25" s="14">
        <f>AVERAGE(AM15:AM24)*80%</f>
        <v>0</v>
      </c>
      <c r="AN25" s="10"/>
      <c r="AO25" s="10"/>
      <c r="AP25" s="15"/>
      <c r="AQ25" s="15"/>
      <c r="AR25" s="63">
        <f>AVERAGE(AR15:AR24)*80%</f>
        <v>0.5428910253818684</v>
      </c>
      <c r="AS25" s="10"/>
    </row>
    <row r="26" spans="1:45" s="42" customFormat="1" ht="166.5">
      <c r="A26" s="32">
        <v>3</v>
      </c>
      <c r="B26" s="26" t="s">
        <v>74</v>
      </c>
      <c r="C26" s="26" t="s">
        <v>174</v>
      </c>
      <c r="D26" s="32" t="s">
        <v>175</v>
      </c>
      <c r="E26" s="26" t="s">
        <v>176</v>
      </c>
      <c r="F26" s="26" t="s">
        <v>177</v>
      </c>
      <c r="G26" s="26" t="s">
        <v>178</v>
      </c>
      <c r="H26" s="26" t="s">
        <v>179</v>
      </c>
      <c r="I26" s="26" t="s">
        <v>180</v>
      </c>
      <c r="J26" s="37" t="s">
        <v>120</v>
      </c>
      <c r="K26" s="37" t="s">
        <v>181</v>
      </c>
      <c r="L26" s="38" t="s">
        <v>182</v>
      </c>
      <c r="M26" s="39">
        <v>0.8</v>
      </c>
      <c r="N26" s="38" t="s">
        <v>182</v>
      </c>
      <c r="O26" s="39">
        <v>0.8</v>
      </c>
      <c r="P26" s="39">
        <v>0.8</v>
      </c>
      <c r="Q26" s="26" t="s">
        <v>62</v>
      </c>
      <c r="R26" s="26" t="s">
        <v>183</v>
      </c>
      <c r="S26" s="26" t="s">
        <v>184</v>
      </c>
      <c r="T26" s="26" t="s">
        <v>185</v>
      </c>
      <c r="U26" s="26" t="s">
        <v>186</v>
      </c>
      <c r="V26" s="64">
        <v>0</v>
      </c>
      <c r="W26" s="66">
        <v>0</v>
      </c>
      <c r="X26" s="66">
        <f>IFERROR(IF(W26/V26&gt;100%,100%,W26/V26),0)</f>
        <v>0</v>
      </c>
      <c r="Y26" s="26" t="s">
        <v>67</v>
      </c>
      <c r="Z26" s="26" t="s">
        <v>68</v>
      </c>
      <c r="AA26" s="41">
        <v>0.8</v>
      </c>
      <c r="AB26" s="80">
        <v>0.96</v>
      </c>
      <c r="AC26" s="77">
        <f>IFERROR(IF(AB26/AA26&gt;100%,100%,AB26/AA26),0)</f>
        <v>1</v>
      </c>
      <c r="AD26" s="26" t="s">
        <v>187</v>
      </c>
      <c r="AE26" s="26" t="s">
        <v>188</v>
      </c>
      <c r="AF26" s="67">
        <v>0</v>
      </c>
      <c r="AG26" s="70">
        <v>0</v>
      </c>
      <c r="AH26" s="66">
        <f>IFERROR(IF(AG26/AF26&gt;100%,100%,AG26/AF26),0)</f>
        <v>0</v>
      </c>
      <c r="AI26" s="26" t="s">
        <v>189</v>
      </c>
      <c r="AJ26" s="26" t="s">
        <v>189</v>
      </c>
      <c r="AK26" s="41">
        <v>0.8</v>
      </c>
      <c r="AL26" s="26"/>
      <c r="AM26" s="52">
        <v>0</v>
      </c>
      <c r="AN26" s="26"/>
      <c r="AO26" s="26"/>
      <c r="AP26" s="69">
        <v>0.8</v>
      </c>
      <c r="AQ26" s="70">
        <f>IFERROR(AVERAGE(AB26,AL26)*0.5,0)</f>
        <v>0.48</v>
      </c>
      <c r="AR26" s="68">
        <f>IFERROR(IF(AQ26/AP26&gt;100%,100%,AQ26/AP26),0)</f>
        <v>0.6</v>
      </c>
      <c r="AS26" s="26" t="s">
        <v>190</v>
      </c>
    </row>
    <row r="27" spans="1:45" s="42" customFormat="1" ht="142.5" customHeight="1">
      <c r="A27" s="32">
        <v>5</v>
      </c>
      <c r="B27" s="26" t="s">
        <v>191</v>
      </c>
      <c r="C27" s="26" t="s">
        <v>192</v>
      </c>
      <c r="D27" s="32" t="s">
        <v>193</v>
      </c>
      <c r="E27" s="43" t="s">
        <v>194</v>
      </c>
      <c r="F27" s="43" t="s">
        <v>177</v>
      </c>
      <c r="G27" s="43" t="s">
        <v>195</v>
      </c>
      <c r="H27" s="43" t="s">
        <v>196</v>
      </c>
      <c r="I27" s="43" t="s">
        <v>197</v>
      </c>
      <c r="J27" s="43" t="s">
        <v>198</v>
      </c>
      <c r="K27" s="43" t="s">
        <v>195</v>
      </c>
      <c r="L27" s="44" t="s">
        <v>189</v>
      </c>
      <c r="M27" s="45">
        <v>1</v>
      </c>
      <c r="N27" s="45">
        <v>1</v>
      </c>
      <c r="O27" s="46">
        <v>1</v>
      </c>
      <c r="P27" s="46">
        <v>1</v>
      </c>
      <c r="Q27" s="43" t="s">
        <v>199</v>
      </c>
      <c r="R27" s="43" t="s">
        <v>200</v>
      </c>
      <c r="S27" s="43" t="s">
        <v>201</v>
      </c>
      <c r="T27" s="47" t="s">
        <v>202</v>
      </c>
      <c r="U27" s="48" t="s">
        <v>203</v>
      </c>
      <c r="V27" s="64">
        <v>0</v>
      </c>
      <c r="W27" s="66">
        <v>0</v>
      </c>
      <c r="X27" s="66">
        <f t="shared" ref="X27:X32" si="12">IFERROR(IF(W27/V27&gt;100%,100%,W27/V27),0)</f>
        <v>0</v>
      </c>
      <c r="Y27" s="26" t="s">
        <v>67</v>
      </c>
      <c r="Z27" s="26" t="s">
        <v>68</v>
      </c>
      <c r="AA27" s="41">
        <v>1</v>
      </c>
      <c r="AB27" s="80">
        <v>1</v>
      </c>
      <c r="AC27" s="77">
        <f t="shared" ref="AC27:AC32" si="13">IFERROR(IF(AB27/AA27&gt;100%,100%,AB27/AA27),0)</f>
        <v>1</v>
      </c>
      <c r="AD27" s="26" t="s">
        <v>204</v>
      </c>
      <c r="AE27" s="26" t="s">
        <v>205</v>
      </c>
      <c r="AF27" s="69">
        <v>1</v>
      </c>
      <c r="AG27" s="70">
        <v>1</v>
      </c>
      <c r="AH27" s="66">
        <f>IFERROR(IF(AG27/AF27&gt;100%,100%,AG27/AF27),0)</f>
        <v>1</v>
      </c>
      <c r="AI27" s="26" t="s">
        <v>206</v>
      </c>
      <c r="AJ27" s="26" t="s">
        <v>207</v>
      </c>
      <c r="AK27" s="41">
        <v>1</v>
      </c>
      <c r="AL27" s="26"/>
      <c r="AM27" s="52">
        <v>0</v>
      </c>
      <c r="AN27" s="26"/>
      <c r="AO27" s="26"/>
      <c r="AP27" s="69">
        <v>1</v>
      </c>
      <c r="AQ27" s="70">
        <f>IFERROR(AVERAGE(AB27,AG27,AL27)*0.67,0)</f>
        <v>0.67</v>
      </c>
      <c r="AR27" s="68">
        <f t="shared" ref="AR27:AR32" si="14">IFERROR(IF(AQ27/AP27&gt;100%,100%,AQ27/AP27),0)</f>
        <v>0.67</v>
      </c>
      <c r="AS27" s="26" t="s">
        <v>208</v>
      </c>
    </row>
    <row r="28" spans="1:45" s="42" customFormat="1" ht="117">
      <c r="A28" s="32">
        <v>3</v>
      </c>
      <c r="B28" s="26" t="s">
        <v>74</v>
      </c>
      <c r="C28" s="26" t="s">
        <v>174</v>
      </c>
      <c r="D28" s="32" t="s">
        <v>209</v>
      </c>
      <c r="E28" s="26" t="s">
        <v>210</v>
      </c>
      <c r="F28" s="26" t="s">
        <v>177</v>
      </c>
      <c r="G28" s="26" t="s">
        <v>211</v>
      </c>
      <c r="H28" s="26" t="s">
        <v>212</v>
      </c>
      <c r="I28" s="32" t="s">
        <v>213</v>
      </c>
      <c r="J28" s="27" t="s">
        <v>144</v>
      </c>
      <c r="K28" s="26" t="s">
        <v>211</v>
      </c>
      <c r="L28" s="49">
        <v>0</v>
      </c>
      <c r="M28" s="49">
        <v>1</v>
      </c>
      <c r="N28" s="49">
        <v>0</v>
      </c>
      <c r="O28" s="49">
        <v>1</v>
      </c>
      <c r="P28" s="49">
        <v>2</v>
      </c>
      <c r="Q28" s="26" t="s">
        <v>62</v>
      </c>
      <c r="R28" s="43" t="s">
        <v>214</v>
      </c>
      <c r="S28" s="43" t="s">
        <v>214</v>
      </c>
      <c r="T28" s="43" t="s">
        <v>185</v>
      </c>
      <c r="U28" s="43" t="s">
        <v>185</v>
      </c>
      <c r="V28" s="64">
        <v>0</v>
      </c>
      <c r="W28" s="66">
        <v>0</v>
      </c>
      <c r="X28" s="66">
        <f t="shared" si="12"/>
        <v>0</v>
      </c>
      <c r="Y28" s="26" t="s">
        <v>67</v>
      </c>
      <c r="Z28" s="26" t="s">
        <v>68</v>
      </c>
      <c r="AA28" s="40">
        <v>1</v>
      </c>
      <c r="AB28" s="26">
        <v>1</v>
      </c>
      <c r="AC28" s="77">
        <f t="shared" si="13"/>
        <v>1</v>
      </c>
      <c r="AD28" s="26" t="s">
        <v>215</v>
      </c>
      <c r="AE28" s="26" t="s">
        <v>216</v>
      </c>
      <c r="AF28" s="64">
        <v>0</v>
      </c>
      <c r="AG28" s="73">
        <v>0</v>
      </c>
      <c r="AH28" s="66">
        <f>IFERROR(IF(AG28/AF28&gt;100%,100%,AG28/AF28),0)</f>
        <v>0</v>
      </c>
      <c r="AI28" s="26" t="s">
        <v>189</v>
      </c>
      <c r="AJ28" s="26" t="s">
        <v>189</v>
      </c>
      <c r="AK28" s="40">
        <v>1</v>
      </c>
      <c r="AL28" s="26"/>
      <c r="AM28" s="52"/>
      <c r="AN28" s="26"/>
      <c r="AO28" s="26"/>
      <c r="AP28" s="65">
        <v>2</v>
      </c>
      <c r="AQ28" s="64">
        <f>IFERROR(W28+AB28+AG28+AL28,0)</f>
        <v>1</v>
      </c>
      <c r="AR28" s="68">
        <f t="shared" si="14"/>
        <v>0.5</v>
      </c>
      <c r="AS28" s="26" t="s">
        <v>217</v>
      </c>
    </row>
    <row r="29" spans="1:45" s="42" customFormat="1" ht="117">
      <c r="A29" s="32">
        <v>3</v>
      </c>
      <c r="B29" s="26" t="s">
        <v>74</v>
      </c>
      <c r="C29" s="26" t="s">
        <v>218</v>
      </c>
      <c r="D29" s="32" t="s">
        <v>219</v>
      </c>
      <c r="E29" s="43" t="s">
        <v>220</v>
      </c>
      <c r="F29" s="43" t="s">
        <v>177</v>
      </c>
      <c r="G29" s="43" t="s">
        <v>221</v>
      </c>
      <c r="H29" s="43" t="s">
        <v>222</v>
      </c>
      <c r="I29" s="43" t="s">
        <v>223</v>
      </c>
      <c r="J29" s="43" t="s">
        <v>144</v>
      </c>
      <c r="K29" s="43" t="s">
        <v>224</v>
      </c>
      <c r="L29" s="50">
        <v>1</v>
      </c>
      <c r="M29" s="50">
        <v>0</v>
      </c>
      <c r="N29" s="50">
        <v>0</v>
      </c>
      <c r="O29" s="50">
        <v>0</v>
      </c>
      <c r="P29" s="50">
        <v>1</v>
      </c>
      <c r="Q29" s="43" t="s">
        <v>62</v>
      </c>
      <c r="R29" s="43" t="s">
        <v>225</v>
      </c>
      <c r="S29" s="43" t="s">
        <v>226</v>
      </c>
      <c r="T29" s="43" t="s">
        <v>185</v>
      </c>
      <c r="U29" s="43" t="s">
        <v>227</v>
      </c>
      <c r="V29" s="69">
        <v>1</v>
      </c>
      <c r="W29" s="70">
        <f>5/5</f>
        <v>1</v>
      </c>
      <c r="X29" s="66">
        <f>IFERROR(IF(W29/V29&gt;100%,100%,W29/V29),0)</f>
        <v>1</v>
      </c>
      <c r="Y29" s="26" t="s">
        <v>228</v>
      </c>
      <c r="Z29" s="26" t="s">
        <v>229</v>
      </c>
      <c r="AA29" s="40">
        <v>0</v>
      </c>
      <c r="AB29" s="52">
        <v>0</v>
      </c>
      <c r="AC29" s="77">
        <f>IFERROR(IF(AB29/AA29&gt;100%,100%,AB29/AA29),0)</f>
        <v>0</v>
      </c>
      <c r="AD29" s="26" t="s">
        <v>230</v>
      </c>
      <c r="AE29" s="26" t="s">
        <v>231</v>
      </c>
      <c r="AF29" s="67">
        <v>0</v>
      </c>
      <c r="AG29" s="70">
        <v>0</v>
      </c>
      <c r="AH29" s="66">
        <f>IFERROR(IF(AG29/AF29&gt;100%,100%,AG29/AF29),0)</f>
        <v>0</v>
      </c>
      <c r="AI29" s="26" t="s">
        <v>189</v>
      </c>
      <c r="AJ29" s="26" t="s">
        <v>189</v>
      </c>
      <c r="AK29" s="40" t="s">
        <v>232</v>
      </c>
      <c r="AL29" s="26"/>
      <c r="AM29" s="52"/>
      <c r="AN29" s="26"/>
      <c r="AO29" s="26"/>
      <c r="AP29" s="67">
        <v>1</v>
      </c>
      <c r="AQ29" s="70">
        <f>IFERROR(W29+AB29+AG29+AL29,0)</f>
        <v>1</v>
      </c>
      <c r="AR29" s="68">
        <f>IFERROR(IF(AQ29/AP29&gt;100%,100%,AQ29/AP29),0)</f>
        <v>1</v>
      </c>
      <c r="AS29" s="74" t="s">
        <v>137</v>
      </c>
    </row>
    <row r="30" spans="1:45" s="42" customFormat="1" ht="199.5">
      <c r="A30" s="32">
        <v>3</v>
      </c>
      <c r="B30" s="26" t="s">
        <v>74</v>
      </c>
      <c r="C30" s="26" t="s">
        <v>218</v>
      </c>
      <c r="D30" s="32" t="s">
        <v>233</v>
      </c>
      <c r="E30" s="43" t="s">
        <v>234</v>
      </c>
      <c r="F30" s="43" t="s">
        <v>177</v>
      </c>
      <c r="G30" s="43" t="s">
        <v>235</v>
      </c>
      <c r="H30" s="43" t="s">
        <v>236</v>
      </c>
      <c r="I30" s="43" t="s">
        <v>132</v>
      </c>
      <c r="J30" s="43" t="s">
        <v>120</v>
      </c>
      <c r="K30" s="43" t="s">
        <v>235</v>
      </c>
      <c r="L30" s="50">
        <v>1</v>
      </c>
      <c r="M30" s="50">
        <v>1</v>
      </c>
      <c r="N30" s="50">
        <v>1</v>
      </c>
      <c r="O30" s="50">
        <v>1</v>
      </c>
      <c r="P30" s="50">
        <v>1</v>
      </c>
      <c r="Q30" s="43" t="s">
        <v>237</v>
      </c>
      <c r="R30" s="43" t="s">
        <v>238</v>
      </c>
      <c r="S30" s="43" t="s">
        <v>239</v>
      </c>
      <c r="T30" s="43" t="s">
        <v>185</v>
      </c>
      <c r="U30" s="43" t="s">
        <v>227</v>
      </c>
      <c r="V30" s="69">
        <v>1</v>
      </c>
      <c r="W30" s="70">
        <f>5/11</f>
        <v>0.45454545454545453</v>
      </c>
      <c r="X30" s="66">
        <f t="shared" si="12"/>
        <v>0.45454545454545453</v>
      </c>
      <c r="Y30" s="26" t="s">
        <v>240</v>
      </c>
      <c r="Z30" s="26" t="s">
        <v>241</v>
      </c>
      <c r="AA30" s="41">
        <v>1</v>
      </c>
      <c r="AB30" s="80">
        <v>0.63</v>
      </c>
      <c r="AC30" s="77">
        <f t="shared" si="13"/>
        <v>0.63</v>
      </c>
      <c r="AD30" s="26" t="s">
        <v>242</v>
      </c>
      <c r="AE30" s="26" t="s">
        <v>243</v>
      </c>
      <c r="AF30" s="69">
        <v>1</v>
      </c>
      <c r="AG30" s="67">
        <f>31/36</f>
        <v>0.86111111111111116</v>
      </c>
      <c r="AH30" s="66">
        <f>IFERROR(IF(AG30/AF30&gt;100%,100%,AG30/AF30),0)</f>
        <v>0.86111111111111116</v>
      </c>
      <c r="AI30" s="26" t="s">
        <v>244</v>
      </c>
      <c r="AJ30" s="26" t="s">
        <v>245</v>
      </c>
      <c r="AK30" s="41">
        <v>1</v>
      </c>
      <c r="AL30" s="26"/>
      <c r="AM30" s="52">
        <v>0</v>
      </c>
      <c r="AN30" s="26"/>
      <c r="AO30" s="26"/>
      <c r="AP30" s="69">
        <v>1</v>
      </c>
      <c r="AQ30" s="70">
        <f>IFERROR(AVERAGE(W30,AB30,AG30,AL30)*0.75,0)</f>
        <v>0.48641414141414141</v>
      </c>
      <c r="AR30" s="68">
        <f t="shared" si="14"/>
        <v>0.48641414141414141</v>
      </c>
      <c r="AS30" s="75" t="s">
        <v>246</v>
      </c>
    </row>
    <row r="31" spans="1:45" s="42" customFormat="1" ht="117">
      <c r="A31" s="32">
        <v>3</v>
      </c>
      <c r="B31" s="26" t="s">
        <v>74</v>
      </c>
      <c r="C31" s="26" t="s">
        <v>247</v>
      </c>
      <c r="D31" s="32" t="s">
        <v>248</v>
      </c>
      <c r="E31" s="26" t="s">
        <v>249</v>
      </c>
      <c r="F31" s="26" t="s">
        <v>177</v>
      </c>
      <c r="G31" s="26" t="s">
        <v>250</v>
      </c>
      <c r="H31" s="26" t="s">
        <v>251</v>
      </c>
      <c r="I31" s="26" t="s">
        <v>252</v>
      </c>
      <c r="J31" s="27" t="s">
        <v>144</v>
      </c>
      <c r="K31" s="27" t="s">
        <v>250</v>
      </c>
      <c r="L31" s="49">
        <v>0</v>
      </c>
      <c r="M31" s="49">
        <v>1</v>
      </c>
      <c r="N31" s="49">
        <v>0</v>
      </c>
      <c r="O31" s="49">
        <v>0</v>
      </c>
      <c r="P31" s="49">
        <v>1</v>
      </c>
      <c r="Q31" s="26" t="s">
        <v>62</v>
      </c>
      <c r="R31" s="26" t="s">
        <v>250</v>
      </c>
      <c r="S31" s="26" t="s">
        <v>253</v>
      </c>
      <c r="T31" s="26" t="s">
        <v>185</v>
      </c>
      <c r="U31" s="26" t="s">
        <v>254</v>
      </c>
      <c r="V31" s="64">
        <v>0</v>
      </c>
      <c r="W31" s="66">
        <v>0</v>
      </c>
      <c r="X31" s="66">
        <f>IFERROR(IF(W31/V31&gt;100%,100%,W31/V31),0)</f>
        <v>0</v>
      </c>
      <c r="Y31" s="26" t="s">
        <v>67</v>
      </c>
      <c r="Z31" s="26" t="s">
        <v>68</v>
      </c>
      <c r="AA31" s="40">
        <v>1</v>
      </c>
      <c r="AB31" s="85">
        <v>0.7</v>
      </c>
      <c r="AC31" s="77">
        <f>IFERROR(IF(AB31/AA31&gt;100%,100%,AB31/AA31),0)</f>
        <v>0.7</v>
      </c>
      <c r="AD31" s="26" t="s">
        <v>255</v>
      </c>
      <c r="AE31" s="26" t="s">
        <v>256</v>
      </c>
      <c r="AF31" s="64">
        <v>0</v>
      </c>
      <c r="AG31" s="73">
        <v>0</v>
      </c>
      <c r="AH31" s="66">
        <f>IFERROR(IF(AG31/AF31&gt;100%,100%,AG31/AF31),0)</f>
        <v>0</v>
      </c>
      <c r="AI31" s="26" t="s">
        <v>189</v>
      </c>
      <c r="AJ31" s="26" t="s">
        <v>189</v>
      </c>
      <c r="AK31" s="40">
        <v>0</v>
      </c>
      <c r="AL31" s="26"/>
      <c r="AM31" s="52" t="e">
        <v>#DIV/0!</v>
      </c>
      <c r="AN31" s="26"/>
      <c r="AO31" s="26"/>
      <c r="AP31" s="65">
        <v>1</v>
      </c>
      <c r="AQ31" s="73">
        <f>IFERROR(W31+AB31+AG31+AL31,0)</f>
        <v>0.7</v>
      </c>
      <c r="AR31" s="68">
        <f>IFERROR(IF(AQ31/AP31&gt;100%,100%,AQ31/AP31),0)</f>
        <v>0.7</v>
      </c>
      <c r="AS31" s="75" t="s">
        <v>257</v>
      </c>
    </row>
    <row r="32" spans="1:45" s="42" customFormat="1" ht="117">
      <c r="A32" s="32">
        <v>3</v>
      </c>
      <c r="B32" s="26" t="s">
        <v>74</v>
      </c>
      <c r="C32" s="26" t="s">
        <v>247</v>
      </c>
      <c r="D32" s="32" t="s">
        <v>258</v>
      </c>
      <c r="E32" s="26" t="s">
        <v>259</v>
      </c>
      <c r="F32" s="26" t="s">
        <v>177</v>
      </c>
      <c r="G32" s="26" t="s">
        <v>260</v>
      </c>
      <c r="H32" s="26" t="s">
        <v>261</v>
      </c>
      <c r="I32" s="26" t="s">
        <v>252</v>
      </c>
      <c r="J32" s="27" t="s">
        <v>144</v>
      </c>
      <c r="K32" s="27" t="s">
        <v>260</v>
      </c>
      <c r="L32" s="51">
        <v>0</v>
      </c>
      <c r="M32" s="51">
        <v>0</v>
      </c>
      <c r="N32" s="51">
        <v>0</v>
      </c>
      <c r="O32" s="51">
        <v>1</v>
      </c>
      <c r="P32" s="51">
        <v>1</v>
      </c>
      <c r="Q32" s="26" t="s">
        <v>62</v>
      </c>
      <c r="R32" s="26" t="s">
        <v>262</v>
      </c>
      <c r="S32" s="26" t="s">
        <v>263</v>
      </c>
      <c r="T32" s="26" t="s">
        <v>185</v>
      </c>
      <c r="U32" s="26" t="s">
        <v>254</v>
      </c>
      <c r="V32" s="64">
        <v>0</v>
      </c>
      <c r="W32" s="66">
        <v>0</v>
      </c>
      <c r="X32" s="66">
        <f t="shared" si="12"/>
        <v>0</v>
      </c>
      <c r="Y32" s="26" t="s">
        <v>67</v>
      </c>
      <c r="Z32" s="26" t="s">
        <v>68</v>
      </c>
      <c r="AA32" s="40">
        <v>0</v>
      </c>
      <c r="AB32" s="52">
        <v>0</v>
      </c>
      <c r="AC32" s="77">
        <f t="shared" si="13"/>
        <v>0</v>
      </c>
      <c r="AD32" s="26" t="s">
        <v>230</v>
      </c>
      <c r="AE32" s="26" t="s">
        <v>231</v>
      </c>
      <c r="AF32" s="64">
        <v>0</v>
      </c>
      <c r="AG32" s="73">
        <v>0</v>
      </c>
      <c r="AH32" s="66">
        <f>IFERROR(IF(AG32/AF32&gt;100%,100%,AG32/AF32),0)</f>
        <v>0</v>
      </c>
      <c r="AI32" s="26" t="s">
        <v>189</v>
      </c>
      <c r="AJ32" s="26" t="s">
        <v>189</v>
      </c>
      <c r="AK32" s="40">
        <v>1</v>
      </c>
      <c r="AL32" s="26"/>
      <c r="AM32" s="52">
        <v>0</v>
      </c>
      <c r="AN32" s="26"/>
      <c r="AO32" s="26"/>
      <c r="AP32" s="65">
        <v>1</v>
      </c>
      <c r="AQ32" s="73">
        <f>IFERROR(W32+AB32+AG32+AL32,0)</f>
        <v>0</v>
      </c>
      <c r="AR32" s="68">
        <f>IFERROR(IF(AQ32/AP32&gt;100%,100%,AQ32/AP32),0)</f>
        <v>0</v>
      </c>
      <c r="AS32" s="43" t="s">
        <v>264</v>
      </c>
    </row>
    <row r="33" spans="1:45" s="5" customFormat="1" ht="17.25">
      <c r="A33" s="10"/>
      <c r="B33" s="10"/>
      <c r="C33" s="10"/>
      <c r="D33" s="10"/>
      <c r="E33" s="11" t="s">
        <v>265</v>
      </c>
      <c r="F33" s="11"/>
      <c r="G33" s="11"/>
      <c r="H33" s="11"/>
      <c r="I33" s="11"/>
      <c r="J33" s="11"/>
      <c r="K33" s="11"/>
      <c r="L33" s="12"/>
      <c r="M33" s="12"/>
      <c r="N33" s="12"/>
      <c r="O33" s="12"/>
      <c r="P33" s="12"/>
      <c r="Q33" s="11"/>
      <c r="R33" s="10"/>
      <c r="S33" s="10"/>
      <c r="T33" s="10"/>
      <c r="U33" s="10"/>
      <c r="V33" s="12"/>
      <c r="W33" s="12"/>
      <c r="X33" s="55">
        <f>AVERAGE(X29,X30)*20%</f>
        <v>0.14545454545454548</v>
      </c>
      <c r="Y33" s="10"/>
      <c r="Z33" s="10"/>
      <c r="AA33" s="12"/>
      <c r="AB33" s="12"/>
      <c r="AC33" s="55">
        <f>AVERAGE(AC26,AC27,AC28,AC30,AC31)*20%</f>
        <v>0.17320000000000002</v>
      </c>
      <c r="AD33" s="10"/>
      <c r="AE33" s="10"/>
      <c r="AF33" s="16"/>
      <c r="AG33" s="16"/>
      <c r="AH33" s="83">
        <f>AVERAGE(AH27,AH30)*20%</f>
        <v>0.18611111111111112</v>
      </c>
      <c r="AI33" s="10"/>
      <c r="AJ33" s="10"/>
      <c r="AK33" s="12"/>
      <c r="AL33" s="12"/>
      <c r="AM33" s="55" t="e">
        <f>AVERAGE(AM26:AM32)*20%</f>
        <v>#DIV/0!</v>
      </c>
      <c r="AN33" s="10"/>
      <c r="AO33" s="10"/>
      <c r="AP33" s="16"/>
      <c r="AQ33" s="16"/>
      <c r="AR33" s="55">
        <f>AVERAGE(AR26,AR27,AR28,AR29,AR30,AR31)*20%</f>
        <v>0.1318804713804714</v>
      </c>
      <c r="AS33" s="10"/>
    </row>
    <row r="34" spans="1:45" s="9" customFormat="1" ht="20.25">
      <c r="A34" s="6"/>
      <c r="B34" s="6"/>
      <c r="C34" s="6"/>
      <c r="D34" s="6"/>
      <c r="E34" s="7" t="s">
        <v>266</v>
      </c>
      <c r="F34" s="6"/>
      <c r="G34" s="6"/>
      <c r="H34" s="6"/>
      <c r="I34" s="6"/>
      <c r="J34" s="6"/>
      <c r="K34" s="6"/>
      <c r="L34" s="8"/>
      <c r="M34" s="8"/>
      <c r="N34" s="8"/>
      <c r="O34" s="8"/>
      <c r="P34" s="8"/>
      <c r="Q34" s="6"/>
      <c r="R34" s="6"/>
      <c r="S34" s="6"/>
      <c r="T34" s="6"/>
      <c r="U34" s="6"/>
      <c r="V34" s="8"/>
      <c r="W34" s="8"/>
      <c r="X34" s="79">
        <f>X25+X33</f>
        <v>0.86194837261503943</v>
      </c>
      <c r="Y34" s="6"/>
      <c r="Z34" s="6"/>
      <c r="AA34" s="8"/>
      <c r="AB34" s="8"/>
      <c r="AC34" s="57">
        <f>AC25+AC33</f>
        <v>0.86613722140402549</v>
      </c>
      <c r="AD34" s="6"/>
      <c r="AE34" s="6"/>
      <c r="AF34" s="17"/>
      <c r="AG34" s="17"/>
      <c r="AH34" s="84">
        <f>AH25+AH33</f>
        <v>0.87972150072150079</v>
      </c>
      <c r="AI34" s="6"/>
      <c r="AJ34" s="6"/>
      <c r="AK34" s="8"/>
      <c r="AL34" s="8"/>
      <c r="AM34" s="18" t="e">
        <f>AM25+AM33</f>
        <v>#DIV/0!</v>
      </c>
      <c r="AN34" s="6"/>
      <c r="AO34" s="6"/>
      <c r="AP34" s="17"/>
      <c r="AQ34" s="17"/>
      <c r="AR34" s="57">
        <f>AR25+AR33</f>
        <v>0.67477149676233983</v>
      </c>
      <c r="AS34"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H10:K10"/>
    <mergeCell ref="R12:U13"/>
    <mergeCell ref="F4:K4"/>
    <mergeCell ref="H5:K5"/>
    <mergeCell ref="H6:K6"/>
    <mergeCell ref="H7:K7"/>
    <mergeCell ref="H8:K8"/>
  </mergeCells>
  <phoneticPr fontId="13"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F33:F1048576 F15:F25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129</v>
      </c>
    </row>
    <row r="4" spans="1:1">
      <c r="A4" t="s">
        <v>177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20579370-E410-4870-9227-911559555B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