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yaira.quintero\Desktop\DOCUMENTOS MILENA 2018\INFORMACIÓN MENSUAL\NOVIEMBRE\"/>
    </mc:Choice>
  </mc:AlternateContent>
  <xr:revisionPtr revIDLastSave="0" documentId="10_ncr:100000_{855FC05E-D84F-400F-A111-33AAD98690FB}" xr6:coauthVersionLast="31" xr6:coauthVersionMax="31" xr10:uidLastSave="{00000000-0000-0000-0000-000000000000}"/>
  <bookViews>
    <workbookView xWindow="750" yWindow="2010" windowWidth="9180" windowHeight="4395" tabRatio="793" firstSheet="14" activeTab="26" xr2:uid="{00000000-000D-0000-FFFF-FFFF00000000}"/>
  </bookViews>
  <sheets>
    <sheet name="DOTACION" sheetId="41" r:id="rId1"/>
    <sheet name="GASTOS DE COMPUTADOR" sheetId="21" r:id="rId2"/>
    <sheet name="COM, LUBRICAN, Y LLANTAS" sheetId="22" r:id="rId3"/>
    <sheet name="MATERIALES Y SUMINISTROS" sheetId="44" r:id="rId4"/>
    <sheet name="ARRENDAMIENTOS" sheetId="68" r:id="rId5"/>
    <sheet name="VIATICOS" sheetId="76" r:id="rId6"/>
    <sheet name="GASTOS DE TRANS, Y COMUNICA" sheetId="47" r:id="rId7"/>
    <sheet name="IMPRESOS Y PUBLICACIÓN" sheetId="48" r:id="rId8"/>
    <sheet name="MANTENIMIENTO ENTIDAD" sheetId="49" r:id="rId9"/>
    <sheet name="SEGUROS ENTIDAD" sheetId="28" r:id="rId10"/>
    <sheet name="ENERGIA" sheetId="50" r:id="rId11"/>
    <sheet name="ACUEDUCTO" sheetId="51" r:id="rId12"/>
    <sheet name="ASEO" sheetId="31" r:id="rId13"/>
    <sheet name="TELEFONO" sheetId="32" r:id="rId14"/>
    <sheet name="CAPACITACIÓN" sheetId="69" r:id="rId15"/>
    <sheet name="BIENESTAR" sheetId="52" r:id="rId16"/>
    <sheet name="PROMOCIÓN" sheetId="60" r:id="rId17"/>
    <sheet name="SALUD OCU." sheetId="59" r:id="rId18"/>
    <sheet name="SENTENCIAS" sheetId="62" r:id="rId19"/>
    <sheet name="IMPUESTOS, TASAS" sheetId="61" r:id="rId20"/>
    <sheet name="NOMINA" sheetId="53" r:id="rId21"/>
    <sheet name="HONORARIOS" sheetId="63" r:id="rId22"/>
    <sheet name="R.S.T." sheetId="72" r:id="rId23"/>
    <sheet name="OTROS GASTOS PERSONAL" sheetId="77" r:id="rId24"/>
    <sheet name="APORTES" sheetId="54" r:id="rId25"/>
    <sheet name="PASIVOS" sheetId="74" r:id="rId26"/>
    <sheet name="TOTAL" sheetId="17" r:id="rId27"/>
    <sheet name="SUSPENSION" sheetId="71" state="hidden" r:id="rId28"/>
  </sheets>
  <definedNames>
    <definedName name="_xlnm._FilterDatabase" localSheetId="15" hidden="1">BIENESTAR!$A$14:$K$71</definedName>
    <definedName name="_xlnm._FilterDatabase" localSheetId="1" hidden="1">'GASTOS DE COMPUTADOR'!$A$13:$K$29</definedName>
    <definedName name="_xlnm._FilterDatabase" localSheetId="6" hidden="1">'GASTOS DE TRANS, Y COMUNICA'!$A$17:$K$54</definedName>
    <definedName name="_xlnm._FilterDatabase" localSheetId="7" hidden="1">'IMPRESOS Y PUBLICACIÓN'!$A$12:$K$13</definedName>
    <definedName name="_xlnm._FilterDatabase" localSheetId="8" hidden="1">'MANTENIMIENTO ENTIDAD'!$A$16:$K$33</definedName>
    <definedName name="_xlnm._FilterDatabase" localSheetId="3" hidden="1">'MATERIALES Y SUMINISTROS'!$A$13:$K$14</definedName>
    <definedName name="_xlnm._FilterDatabase" localSheetId="22" hidden="1">'R.S.T.'!$A$11:$K$12</definedName>
    <definedName name="_xlnm._FilterDatabase" localSheetId="17" hidden="1">'SALUD OCU.'!$A$17:$K$18</definedName>
    <definedName name="_xlnm.Print_Area" localSheetId="11">ACUEDUCTO!$A$1:$K$35</definedName>
    <definedName name="_xlnm.Print_Area" localSheetId="24">APORTES!$A$1:$K$55</definedName>
    <definedName name="_xlnm.Print_Area" localSheetId="4">ARRENDAMIENTOS!$A$1:$K$26</definedName>
    <definedName name="_xlnm.Print_Area" localSheetId="12">ASEO!$A$1:$K$37</definedName>
    <definedName name="_xlnm.Print_Area" localSheetId="15">BIENESTAR!$A$1:$K$78</definedName>
    <definedName name="_xlnm.Print_Area" localSheetId="14">CAPACITACIÓN!$A$1:$K$23</definedName>
    <definedName name="_xlnm.Print_Area" localSheetId="2">'COM, LUBRICAN, Y LLANTAS'!$A$1:$K$25</definedName>
    <definedName name="_xlnm.Print_Area" localSheetId="0">DOTACION!$A$1:$K$25</definedName>
    <definedName name="_xlnm.Print_Area" localSheetId="10">ENERGIA!$A$1:$K$72</definedName>
    <definedName name="_xlnm.Print_Area" localSheetId="1">'GASTOS DE COMPUTADOR'!$A$1:$K$35</definedName>
    <definedName name="_xlnm.Print_Area" localSheetId="6">'GASTOS DE TRANS, Y COMUNICA'!$A$1:$K$61</definedName>
    <definedName name="_xlnm.Print_Area" localSheetId="21">HONORARIOS!$A$1:$K$33</definedName>
    <definedName name="_xlnm.Print_Area" localSheetId="7">'IMPRESOS Y PUBLICACIÓN'!$A$1:$K$31</definedName>
    <definedName name="_xlnm.Print_Area" localSheetId="19">'IMPUESTOS, TASAS'!$A$1:$K$29</definedName>
    <definedName name="_xlnm.Print_Area" localSheetId="8">'MANTENIMIENTO ENTIDAD'!$A$1:$K$40</definedName>
    <definedName name="_xlnm.Print_Area" localSheetId="3">'MATERIALES Y SUMINISTROS'!$A$1:$K$31</definedName>
    <definedName name="_xlnm.Print_Area" localSheetId="20">NOMINA!$A$1:$K$39</definedName>
    <definedName name="_xlnm.Print_Area" localSheetId="16">PROMOCIÓN!$A$1:$K$25</definedName>
    <definedName name="_xlnm.Print_Area" localSheetId="22">'R.S.T.'!$A$1:$K$21</definedName>
    <definedName name="_xlnm.Print_Area" localSheetId="17">'SALUD OCU.'!$A$1:$K$30</definedName>
    <definedName name="_xlnm.Print_Area" localSheetId="9">'SEGUROS ENTIDAD'!$A$1:$K$24</definedName>
    <definedName name="_xlnm.Print_Area" localSheetId="18">SENTENCIAS!$A$1:$K$24</definedName>
    <definedName name="_xlnm.Print_Area" localSheetId="27">SUSPENSION!$A$1:$H$36</definedName>
    <definedName name="_xlnm.Print_Area" localSheetId="13">TELEFONO!$A$1:$K$35</definedName>
    <definedName name="_xlnm.Print_Area" localSheetId="26">TOTAL!$A$1:$M$35</definedName>
    <definedName name="_xlnm.Print_Titles" localSheetId="11">ACUEDUCTO!$12:$13</definedName>
    <definedName name="_xlnm.Print_Titles" localSheetId="24">APORTES!$14:$15</definedName>
    <definedName name="_xlnm.Print_Titles" localSheetId="15">BIENESTAR!$14:$15</definedName>
    <definedName name="_xlnm.Print_Titles" localSheetId="10">ENERGIA!$12:$13</definedName>
    <definedName name="_xlnm.Print_Titles" localSheetId="6">'GASTOS DE TRANS, Y COMUNICA'!$17:$18</definedName>
    <definedName name="_xlnm.Print_Titles" localSheetId="21">HONORARIOS!$12:$13</definedName>
    <definedName name="_xlnm.Print_Titles" localSheetId="7">'IMPRESOS Y PUBLICACIÓN'!$12:$13</definedName>
    <definedName name="_xlnm.Print_Titles" localSheetId="8">'MANTENIMIENTO ENTIDAD'!$16:$17</definedName>
    <definedName name="_xlnm.Print_Titles" localSheetId="3">'MATERIALES Y SUMINISTROS'!$13:$14</definedName>
    <definedName name="_xlnm.Print_Titles" localSheetId="9">'SEGUROS ENTIDAD'!$14:$15</definedName>
    <definedName name="_xlnm.Print_Titles" localSheetId="18">SENTENCIAS!$12:$13</definedName>
    <definedName name="_xlnm.Print_Titles" localSheetId="13">TELEFONO!$12:$13</definedName>
  </definedNames>
  <calcPr calcId="179017"/>
</workbook>
</file>

<file path=xl/calcChain.xml><?xml version="1.0" encoding="utf-8"?>
<calcChain xmlns="http://schemas.openxmlformats.org/spreadsheetml/2006/main">
  <c r="K27" i="63" l="1"/>
  <c r="I9" i="31"/>
  <c r="K63" i="50"/>
  <c r="K62" i="50"/>
  <c r="I8" i="50"/>
  <c r="I17" i="28"/>
  <c r="I12" i="49"/>
  <c r="K33" i="49"/>
  <c r="I8" i="32" l="1"/>
  <c r="K28" i="32"/>
  <c r="K26" i="32"/>
  <c r="K29" i="31"/>
  <c r="K28" i="31"/>
  <c r="K27" i="31"/>
  <c r="I8" i="68"/>
  <c r="K19" i="68"/>
  <c r="K22" i="61" l="1"/>
  <c r="K21" i="61"/>
  <c r="K20" i="61"/>
  <c r="K61" i="50"/>
  <c r="K60" i="50"/>
  <c r="I8" i="61"/>
  <c r="K72" i="52"/>
  <c r="I8" i="48"/>
  <c r="K24" i="48"/>
  <c r="I11" i="47"/>
  <c r="I10" i="47"/>
  <c r="I9" i="47"/>
  <c r="K54" i="47"/>
  <c r="K53" i="47"/>
  <c r="K52" i="47"/>
  <c r="K51" i="47"/>
  <c r="I8" i="44"/>
  <c r="K24" i="44"/>
  <c r="I7" i="21"/>
  <c r="K29" i="21"/>
  <c r="K47" i="54" l="1"/>
  <c r="K46" i="54"/>
  <c r="K45" i="54"/>
  <c r="K44" i="54"/>
  <c r="K43" i="54"/>
  <c r="K42" i="54"/>
  <c r="K41" i="54"/>
  <c r="K17" i="69"/>
  <c r="I9" i="69"/>
  <c r="K59" i="50"/>
  <c r="I23" i="49"/>
  <c r="K28" i="21"/>
  <c r="I8" i="21"/>
  <c r="K58" i="50" l="1"/>
  <c r="K71" i="52" l="1"/>
  <c r="K27" i="21"/>
  <c r="K29" i="51" l="1"/>
  <c r="I8" i="51"/>
  <c r="K57" i="50"/>
  <c r="K56" i="50"/>
  <c r="K55" i="50"/>
  <c r="K54" i="50"/>
  <c r="K32" i="49"/>
  <c r="K23" i="48"/>
  <c r="K22" i="48"/>
  <c r="K50" i="47"/>
  <c r="K49" i="47"/>
  <c r="K18" i="68"/>
  <c r="K23" i="44"/>
  <c r="K22" i="44"/>
  <c r="K21" i="44"/>
  <c r="K20" i="44"/>
  <c r="K19" i="44"/>
  <c r="K18" i="44"/>
  <c r="K17" i="44"/>
  <c r="J51" i="54" l="1"/>
  <c r="I51" i="54"/>
  <c r="K26" i="63"/>
  <c r="I8" i="31"/>
  <c r="K31" i="49"/>
  <c r="K21" i="48"/>
  <c r="K15" i="72" l="1"/>
  <c r="I35" i="53"/>
  <c r="K53" i="50"/>
  <c r="B30" i="44"/>
  <c r="K40" i="54" l="1"/>
  <c r="K19" i="53"/>
  <c r="K18" i="53"/>
  <c r="K17" i="53"/>
  <c r="K16" i="53"/>
  <c r="K29" i="53"/>
  <c r="K28" i="53"/>
  <c r="K25" i="32"/>
  <c r="K26" i="21"/>
  <c r="K25" i="21"/>
  <c r="I9" i="21"/>
  <c r="K39" i="54" l="1"/>
  <c r="K52" i="50"/>
  <c r="K51" i="50"/>
  <c r="K50" i="50"/>
  <c r="K49" i="50"/>
  <c r="K48" i="50"/>
  <c r="K47" i="50"/>
  <c r="K19" i="76"/>
  <c r="K18" i="76"/>
  <c r="I10" i="50" l="1"/>
  <c r="K38" i="54"/>
  <c r="K37" i="54"/>
  <c r="J29" i="63"/>
  <c r="I29" i="63"/>
  <c r="K25" i="63"/>
  <c r="I8" i="52"/>
  <c r="K28" i="51"/>
  <c r="K48" i="47" l="1"/>
  <c r="K47" i="47"/>
  <c r="I15" i="76"/>
  <c r="K19" i="61" l="1"/>
  <c r="K18" i="61"/>
  <c r="K17" i="61"/>
  <c r="K46" i="47"/>
  <c r="K45" i="47"/>
  <c r="K44" i="47"/>
  <c r="K43" i="47"/>
  <c r="K26" i="31" l="1"/>
  <c r="K36" i="54" l="1"/>
  <c r="I20" i="49"/>
  <c r="I15" i="47"/>
  <c r="J57" i="47" l="1"/>
  <c r="I57" i="47"/>
  <c r="K35" i="54"/>
  <c r="K27" i="53"/>
  <c r="I10" i="52"/>
  <c r="K70" i="52"/>
  <c r="K69" i="52"/>
  <c r="K68" i="52"/>
  <c r="K67" i="52"/>
  <c r="I8" i="69"/>
  <c r="K24" i="32"/>
  <c r="K25" i="31"/>
  <c r="K27" i="51"/>
  <c r="K26" i="51"/>
  <c r="K25" i="51"/>
  <c r="I27" i="44" l="1"/>
  <c r="K42" i="47"/>
  <c r="K41" i="47"/>
  <c r="K40" i="47"/>
  <c r="K34" i="54"/>
  <c r="K33" i="54"/>
  <c r="K24" i="63"/>
  <c r="K26" i="53"/>
  <c r="K24" i="31"/>
  <c r="K23" i="31"/>
  <c r="K22" i="31"/>
  <c r="J68" i="50"/>
  <c r="I68" i="50"/>
  <c r="K46" i="50"/>
  <c r="K45" i="50"/>
  <c r="K44" i="50"/>
  <c r="K66" i="52" l="1"/>
  <c r="K65" i="52"/>
  <c r="K64" i="52"/>
  <c r="K63" i="52"/>
  <c r="K62" i="52"/>
  <c r="K61" i="52"/>
  <c r="K60" i="52"/>
  <c r="K59" i="52"/>
  <c r="K58" i="52"/>
  <c r="K57" i="52"/>
  <c r="K56" i="52"/>
  <c r="K55" i="52"/>
  <c r="K54" i="52"/>
  <c r="K53" i="52"/>
  <c r="K52" i="52"/>
  <c r="K51" i="52"/>
  <c r="K24" i="21"/>
  <c r="K50" i="52" l="1"/>
  <c r="K49" i="52"/>
  <c r="K48" i="52"/>
  <c r="K47" i="52"/>
  <c r="K46" i="52"/>
  <c r="K45" i="52"/>
  <c r="K44" i="52"/>
  <c r="K43" i="52"/>
  <c r="K42" i="52"/>
  <c r="K41" i="52"/>
  <c r="K40" i="52"/>
  <c r="I21" i="49"/>
  <c r="K19" i="48"/>
  <c r="K18" i="48"/>
  <c r="K39" i="47"/>
  <c r="K38" i="47"/>
  <c r="K23" i="21"/>
  <c r="K23" i="32" l="1"/>
  <c r="K22" i="32"/>
  <c r="K37" i="47"/>
  <c r="K36" i="47"/>
  <c r="K35" i="47"/>
  <c r="I10" i="49"/>
  <c r="K30" i="49"/>
  <c r="K29" i="49"/>
  <c r="K32" i="54" l="1"/>
  <c r="K25" i="53" l="1"/>
  <c r="K43" i="50"/>
  <c r="K42" i="50"/>
  <c r="K22" i="21"/>
  <c r="K31" i="54" l="1"/>
  <c r="K30" i="54"/>
  <c r="K29" i="54"/>
  <c r="K41" i="50"/>
  <c r="K40" i="50"/>
  <c r="K39" i="50"/>
  <c r="K38" i="50"/>
  <c r="K37" i="50"/>
  <c r="I8" i="28" l="1"/>
  <c r="K24" i="51" l="1"/>
  <c r="I11" i="69" l="1"/>
  <c r="K21" i="32"/>
  <c r="K20" i="32"/>
  <c r="K19" i="32"/>
  <c r="K36" i="50"/>
  <c r="K24" i="53" l="1"/>
  <c r="K34" i="47"/>
  <c r="K39" i="52" l="1"/>
  <c r="K38" i="52"/>
  <c r="K37" i="52"/>
  <c r="K36" i="52"/>
  <c r="K35" i="52"/>
  <c r="K34" i="52"/>
  <c r="K33" i="52" l="1"/>
  <c r="K35" i="50"/>
  <c r="K34" i="50"/>
  <c r="I9" i="49" l="1"/>
  <c r="K28" i="49"/>
  <c r="K33" i="47"/>
  <c r="K28" i="54" l="1"/>
  <c r="K27" i="54"/>
  <c r="K26" i="54"/>
  <c r="K23" i="53"/>
  <c r="K33" i="50"/>
  <c r="K21" i="21" l="1"/>
  <c r="K32" i="50" l="1"/>
  <c r="K31" i="50"/>
  <c r="K30" i="50"/>
  <c r="K29" i="50"/>
  <c r="K27" i="49"/>
  <c r="K32" i="47"/>
  <c r="K25" i="49" l="1"/>
  <c r="I36" i="49"/>
  <c r="K26" i="49"/>
  <c r="K20" i="21"/>
  <c r="K21" i="31" l="1"/>
  <c r="K25" i="54" l="1"/>
  <c r="K24" i="54"/>
  <c r="K23" i="54"/>
  <c r="K22" i="53"/>
  <c r="K23" i="51"/>
  <c r="K31" i="47"/>
  <c r="K30" i="47"/>
  <c r="K29" i="47"/>
  <c r="K18" i="32" l="1"/>
  <c r="K17" i="32"/>
  <c r="K20" i="31"/>
  <c r="K19" i="31"/>
  <c r="K22" i="51"/>
  <c r="K21" i="51"/>
  <c r="K20" i="51"/>
  <c r="K21" i="53" l="1"/>
  <c r="K28" i="50" l="1"/>
  <c r="K27" i="50"/>
  <c r="K23" i="49" l="1"/>
  <c r="K22" i="49"/>
  <c r="K21" i="49"/>
  <c r="K20" i="49"/>
  <c r="K26" i="50" l="1"/>
  <c r="K25" i="50"/>
  <c r="K24" i="50"/>
  <c r="K23" i="50"/>
  <c r="K22" i="50"/>
  <c r="K22" i="54" l="1"/>
  <c r="K19" i="21"/>
  <c r="K18" i="21"/>
  <c r="K28" i="47" l="1"/>
  <c r="K27" i="47"/>
  <c r="I11" i="44"/>
  <c r="K19" i="51" l="1"/>
  <c r="I11" i="22"/>
  <c r="I11" i="61" l="1"/>
  <c r="K21" i="50" l="1"/>
  <c r="K20" i="50"/>
  <c r="K19" i="50"/>
  <c r="K26" i="47" l="1"/>
  <c r="K25" i="47"/>
  <c r="K24" i="47"/>
  <c r="K23" i="47"/>
  <c r="K22" i="47"/>
  <c r="K21" i="47"/>
  <c r="J74" i="52" l="1"/>
  <c r="I74" i="52"/>
  <c r="K26" i="52"/>
  <c r="K25" i="52"/>
  <c r="K24" i="52"/>
  <c r="K23" i="52"/>
  <c r="K22" i="52"/>
  <c r="K21" i="52"/>
  <c r="K20" i="52"/>
  <c r="K19" i="52"/>
  <c r="K18" i="52"/>
  <c r="K17" i="52"/>
  <c r="K18" i="50"/>
  <c r="I11" i="21" l="1"/>
  <c r="K14" i="72" l="1"/>
  <c r="J27" i="48" l="1"/>
  <c r="K17" i="48"/>
  <c r="K16" i="48"/>
  <c r="K15" i="48"/>
  <c r="I27" i="48"/>
  <c r="I10" i="48"/>
  <c r="E32" i="17" l="1"/>
  <c r="D32" i="17"/>
  <c r="I10" i="53"/>
  <c r="I14" i="49"/>
  <c r="C32" i="17" l="1"/>
  <c r="D19" i="77"/>
  <c r="F32" i="17" s="1"/>
  <c r="J16" i="77"/>
  <c r="I19" i="77" s="1"/>
  <c r="I16" i="77"/>
  <c r="E19" i="77" s="1"/>
  <c r="G32" i="17" s="1"/>
  <c r="K14" i="77"/>
  <c r="K16" i="77" s="1"/>
  <c r="K19" i="77" s="1"/>
  <c r="M32" i="17" s="1"/>
  <c r="I9" i="77"/>
  <c r="G19" i="77" s="1"/>
  <c r="I32" i="17" s="1"/>
  <c r="C10" i="17"/>
  <c r="K16" i="76"/>
  <c r="K15" i="76"/>
  <c r="K14" i="76"/>
  <c r="K16" i="22"/>
  <c r="K17" i="22"/>
  <c r="K18" i="22"/>
  <c r="K16" i="41"/>
  <c r="K17" i="41"/>
  <c r="K18" i="41"/>
  <c r="K19" i="41"/>
  <c r="K15" i="21"/>
  <c r="K16" i="21"/>
  <c r="K17" i="21"/>
  <c r="K16" i="44"/>
  <c r="K14" i="68"/>
  <c r="K15" i="68"/>
  <c r="K16" i="68"/>
  <c r="K17" i="68"/>
  <c r="K17" i="76"/>
  <c r="K19" i="47"/>
  <c r="K20" i="47"/>
  <c r="K20" i="48"/>
  <c r="K27" i="48" s="1"/>
  <c r="K18" i="49"/>
  <c r="K19" i="49"/>
  <c r="K24" i="49"/>
  <c r="K17" i="28"/>
  <c r="K18" i="28"/>
  <c r="K36" i="49" l="1"/>
  <c r="K57" i="47"/>
  <c r="J19" i="77"/>
  <c r="L32" i="17" s="1"/>
  <c r="K32" i="17"/>
  <c r="F19" i="77"/>
  <c r="H32" i="17" s="1"/>
  <c r="H19" i="77"/>
  <c r="J32" i="17" s="1"/>
  <c r="K21" i="54"/>
  <c r="K20" i="54"/>
  <c r="K18" i="62"/>
  <c r="K17" i="62"/>
  <c r="K16" i="62"/>
  <c r="J36" i="49"/>
  <c r="I32" i="63" l="1"/>
  <c r="K30" i="17" s="1"/>
  <c r="E32" i="63"/>
  <c r="G30" i="17" s="1"/>
  <c r="K23" i="63"/>
  <c r="K17" i="50"/>
  <c r="I12" i="28"/>
  <c r="G23" i="28" s="1"/>
  <c r="I14" i="17" s="1"/>
  <c r="D25" i="68"/>
  <c r="K19" i="54"/>
  <c r="K20" i="53"/>
  <c r="K32" i="52"/>
  <c r="G71" i="50"/>
  <c r="G30" i="48"/>
  <c r="I12" i="17" s="1"/>
  <c r="E60" i="47"/>
  <c r="K16" i="32"/>
  <c r="K18" i="51"/>
  <c r="K22" i="68"/>
  <c r="K25" i="68" s="1"/>
  <c r="M9" i="17" s="1"/>
  <c r="I22" i="68"/>
  <c r="E25" i="68" s="1"/>
  <c r="G9" i="17" s="1"/>
  <c r="J22" i="68"/>
  <c r="I25" i="68" s="1"/>
  <c r="K9" i="17" s="1"/>
  <c r="E30" i="48"/>
  <c r="G12" i="17" s="1"/>
  <c r="I54" i="54"/>
  <c r="E54" i="54"/>
  <c r="K22" i="63"/>
  <c r="K18" i="31"/>
  <c r="K16" i="61"/>
  <c r="G30" i="44"/>
  <c r="I7" i="17" s="1"/>
  <c r="D10" i="17"/>
  <c r="K17" i="60"/>
  <c r="K15" i="53"/>
  <c r="J20" i="28"/>
  <c r="I23" i="28" s="1"/>
  <c r="K14" i="17" s="1"/>
  <c r="J21" i="60"/>
  <c r="I24" i="60" s="1"/>
  <c r="K22" i="17" s="1"/>
  <c r="J20" i="62"/>
  <c r="I23" i="62" s="1"/>
  <c r="D38" i="53"/>
  <c r="F29" i="17" s="1"/>
  <c r="G28" i="61"/>
  <c r="I26" i="17" s="1"/>
  <c r="I20" i="62"/>
  <c r="E23" i="62" s="1"/>
  <c r="G25" i="17" s="1"/>
  <c r="I11" i="41"/>
  <c r="G24" i="41" s="1"/>
  <c r="I4" i="17" s="1"/>
  <c r="G38" i="53"/>
  <c r="I29" i="17" s="1"/>
  <c r="E29" i="17"/>
  <c r="E17" i="17"/>
  <c r="E25" i="17"/>
  <c r="D29" i="17"/>
  <c r="D17" i="17"/>
  <c r="D25" i="17"/>
  <c r="C29" i="17"/>
  <c r="C17" i="17"/>
  <c r="C25" i="17"/>
  <c r="K21" i="76"/>
  <c r="K24" i="76" s="1"/>
  <c r="M10" i="17" s="1"/>
  <c r="K21" i="63"/>
  <c r="E71" i="50"/>
  <c r="D71" i="50"/>
  <c r="F16" i="17" s="1"/>
  <c r="D39" i="49"/>
  <c r="F13" i="17" s="1"/>
  <c r="I10" i="62"/>
  <c r="G23" i="62" s="1"/>
  <c r="K24" i="59"/>
  <c r="I77" i="52"/>
  <c r="K21" i="17" s="1"/>
  <c r="K17" i="51"/>
  <c r="K16" i="51"/>
  <c r="K20" i="63"/>
  <c r="D33" i="17"/>
  <c r="C30" i="17"/>
  <c r="D30" i="17"/>
  <c r="E30" i="17"/>
  <c r="E33" i="17"/>
  <c r="C31" i="17"/>
  <c r="D31" i="17"/>
  <c r="E31" i="17"/>
  <c r="C33" i="17"/>
  <c r="C34" i="17"/>
  <c r="D34" i="17"/>
  <c r="E34" i="17"/>
  <c r="H34" i="17"/>
  <c r="L34" i="17"/>
  <c r="K31" i="52"/>
  <c r="K30" i="52"/>
  <c r="K29" i="52"/>
  <c r="K28" i="52"/>
  <c r="K27" i="52"/>
  <c r="K16" i="52"/>
  <c r="K19" i="63"/>
  <c r="E39" i="49"/>
  <c r="I10" i="63"/>
  <c r="G32" i="63" s="1"/>
  <c r="I15" i="59"/>
  <c r="G29" i="59" s="1"/>
  <c r="I23" i="17" s="1"/>
  <c r="G34" i="21"/>
  <c r="D24" i="76"/>
  <c r="F10" i="17" s="1"/>
  <c r="J21" i="76"/>
  <c r="I24" i="76" s="1"/>
  <c r="I21" i="76"/>
  <c r="E24" i="76" s="1"/>
  <c r="I10" i="76"/>
  <c r="G24" i="76" s="1"/>
  <c r="I10" i="17" s="1"/>
  <c r="K16" i="69"/>
  <c r="J19" i="69"/>
  <c r="I22" i="69" s="1"/>
  <c r="I19" i="69"/>
  <c r="E22" i="69" s="1"/>
  <c r="G20" i="17" s="1"/>
  <c r="I71" i="50"/>
  <c r="K15" i="51"/>
  <c r="K14" i="51"/>
  <c r="K18" i="63"/>
  <c r="K17" i="63"/>
  <c r="K16" i="63"/>
  <c r="I12" i="52"/>
  <c r="G77" i="52" s="1"/>
  <c r="I21" i="17" s="1"/>
  <c r="E77" i="52"/>
  <c r="G21" i="17" s="1"/>
  <c r="K17" i="31"/>
  <c r="K16" i="31"/>
  <c r="K16" i="50"/>
  <c r="K15" i="50"/>
  <c r="I10" i="68"/>
  <c r="G25" i="68" s="1"/>
  <c r="I9" i="17" s="1"/>
  <c r="I10" i="32"/>
  <c r="G34" i="32" s="1"/>
  <c r="I19" i="17" s="1"/>
  <c r="J31" i="32"/>
  <c r="I34" i="32" s="1"/>
  <c r="K19" i="17" s="1"/>
  <c r="I31" i="32"/>
  <c r="E34" i="32" s="1"/>
  <c r="G19" i="17" s="1"/>
  <c r="K14" i="32"/>
  <c r="J33" i="31"/>
  <c r="I36" i="31" s="1"/>
  <c r="I33" i="31"/>
  <c r="E36" i="31" s="1"/>
  <c r="G18" i="17" s="1"/>
  <c r="K15" i="31"/>
  <c r="I11" i="31"/>
  <c r="G36" i="31" s="1"/>
  <c r="I18" i="17" s="1"/>
  <c r="J31" i="51"/>
  <c r="I34" i="51" s="1"/>
  <c r="I31" i="51"/>
  <c r="E34" i="51" s="1"/>
  <c r="G17" i="17" s="1"/>
  <c r="K23" i="59"/>
  <c r="K17" i="72"/>
  <c r="K20" i="72" s="1"/>
  <c r="M31" i="17" s="1"/>
  <c r="K15" i="60"/>
  <c r="D19" i="74"/>
  <c r="F34" i="17" s="1"/>
  <c r="J16" i="74"/>
  <c r="I19" i="74" s="1"/>
  <c r="K34" i="17" s="1"/>
  <c r="I16" i="74"/>
  <c r="E19" i="74" s="1"/>
  <c r="K14" i="74"/>
  <c r="K16" i="74" s="1"/>
  <c r="K19" i="74" s="1"/>
  <c r="M34" i="17" s="1"/>
  <c r="I9" i="74"/>
  <c r="G19" i="74" s="1"/>
  <c r="I34" i="17" s="1"/>
  <c r="K18" i="54"/>
  <c r="K14" i="50"/>
  <c r="I60" i="47"/>
  <c r="D20" i="72"/>
  <c r="F31" i="17" s="1"/>
  <c r="J17" i="72"/>
  <c r="I20" i="72" s="1"/>
  <c r="I17" i="72"/>
  <c r="E20" i="72" s="1"/>
  <c r="G31" i="17" s="1"/>
  <c r="I9" i="72"/>
  <c r="G20" i="72" s="1"/>
  <c r="I31" i="17" s="1"/>
  <c r="C34" i="71"/>
  <c r="G34" i="71" s="1"/>
  <c r="H34" i="71" s="1"/>
  <c r="C33" i="71"/>
  <c r="E33" i="71" s="1"/>
  <c r="C32" i="71"/>
  <c r="E32" i="71" s="1"/>
  <c r="D31" i="71"/>
  <c r="C29" i="71"/>
  <c r="E29" i="71" s="1"/>
  <c r="E27" i="71" s="1"/>
  <c r="C28" i="71"/>
  <c r="F28" i="71" s="1"/>
  <c r="D27" i="71"/>
  <c r="C26" i="71"/>
  <c r="E26" i="71" s="1"/>
  <c r="F26" i="71" s="1"/>
  <c r="C25" i="71"/>
  <c r="E25" i="71" s="1"/>
  <c r="C24" i="71"/>
  <c r="G24" i="71" s="1"/>
  <c r="C23" i="71"/>
  <c r="G23" i="71" s="1"/>
  <c r="H23" i="71" s="1"/>
  <c r="C22" i="71"/>
  <c r="C21" i="71"/>
  <c r="G21" i="71" s="1"/>
  <c r="H21" i="71" s="1"/>
  <c r="C20" i="71"/>
  <c r="E20" i="71" s="1"/>
  <c r="C19" i="71"/>
  <c r="G19" i="71" s="1"/>
  <c r="C18" i="71"/>
  <c r="G18" i="71" s="1"/>
  <c r="D17" i="71"/>
  <c r="C16" i="71"/>
  <c r="G16" i="71" s="1"/>
  <c r="H16" i="71" s="1"/>
  <c r="C15" i="71"/>
  <c r="E15" i="71" s="1"/>
  <c r="C14" i="71"/>
  <c r="E14" i="71" s="1"/>
  <c r="F14" i="71" s="1"/>
  <c r="C13" i="71"/>
  <c r="E13" i="71" s="1"/>
  <c r="C12" i="71"/>
  <c r="G12" i="71" s="1"/>
  <c r="D11" i="71"/>
  <c r="C10" i="71"/>
  <c r="G10" i="71" s="1"/>
  <c r="H10" i="71" s="1"/>
  <c r="C9" i="71"/>
  <c r="C8" i="71"/>
  <c r="E8" i="71" s="1"/>
  <c r="F8" i="71" s="1"/>
  <c r="C7" i="71"/>
  <c r="G7" i="71" s="1"/>
  <c r="D6" i="71"/>
  <c r="G22" i="71"/>
  <c r="E22" i="71"/>
  <c r="E23" i="71"/>
  <c r="F23" i="71" s="1"/>
  <c r="K22" i="59"/>
  <c r="D9" i="17"/>
  <c r="E9" i="17"/>
  <c r="C9" i="17"/>
  <c r="D20" i="17"/>
  <c r="E20" i="17"/>
  <c r="C20" i="17"/>
  <c r="D22" i="69"/>
  <c r="F20" i="17" s="1"/>
  <c r="G22" i="69"/>
  <c r="I20" i="17" s="1"/>
  <c r="I12" i="54"/>
  <c r="G54" i="54" s="1"/>
  <c r="I33" i="17" s="1"/>
  <c r="D77" i="52"/>
  <c r="K16" i="60"/>
  <c r="I21" i="22"/>
  <c r="E24" i="22" s="1"/>
  <c r="G6" i="17" s="1"/>
  <c r="K21" i="59"/>
  <c r="K20" i="28"/>
  <c r="K23" i="28" s="1"/>
  <c r="M14" i="17" s="1"/>
  <c r="I20" i="28"/>
  <c r="E23" i="28" s="1"/>
  <c r="G24" i="22"/>
  <c r="I6" i="17" s="1"/>
  <c r="K15" i="63"/>
  <c r="C11" i="17"/>
  <c r="D11" i="17"/>
  <c r="E11" i="17"/>
  <c r="E13" i="17"/>
  <c r="E16" i="17"/>
  <c r="E19" i="17"/>
  <c r="I25" i="61"/>
  <c r="E28" i="61" s="1"/>
  <c r="G26" i="17" s="1"/>
  <c r="E30" i="44"/>
  <c r="G7" i="17" s="1"/>
  <c r="K15" i="62"/>
  <c r="K20" i="62" s="1"/>
  <c r="K23" i="62" s="1"/>
  <c r="M25" i="17" s="1"/>
  <c r="J21" i="22"/>
  <c r="I24" i="22" s="1"/>
  <c r="K6" i="17" s="1"/>
  <c r="J25" i="61"/>
  <c r="I28" i="61" s="1"/>
  <c r="I10" i="51"/>
  <c r="G34" i="51" s="1"/>
  <c r="I17" i="17" s="1"/>
  <c r="E12" i="17"/>
  <c r="E5" i="17"/>
  <c r="D12" i="17"/>
  <c r="D5" i="17"/>
  <c r="D21" i="17"/>
  <c r="C12" i="17"/>
  <c r="C5" i="17"/>
  <c r="C13" i="17"/>
  <c r="I26" i="59"/>
  <c r="E29" i="59" s="1"/>
  <c r="J26" i="59"/>
  <c r="I29" i="59" s="1"/>
  <c r="K23" i="17" s="1"/>
  <c r="C26" i="17"/>
  <c r="D26" i="17"/>
  <c r="E26" i="17"/>
  <c r="K20" i="59"/>
  <c r="C23" i="17"/>
  <c r="D23" i="17"/>
  <c r="E23" i="17"/>
  <c r="D29" i="59"/>
  <c r="F23" i="17" s="1"/>
  <c r="I10" i="60"/>
  <c r="G24" i="60" s="1"/>
  <c r="I22" i="17" s="1"/>
  <c r="I21" i="60"/>
  <c r="E24" i="60" s="1"/>
  <c r="G22" i="17" s="1"/>
  <c r="C22" i="17"/>
  <c r="D22" i="17"/>
  <c r="E22" i="17"/>
  <c r="E21" i="17"/>
  <c r="K15" i="32"/>
  <c r="C19" i="17"/>
  <c r="D19" i="17"/>
  <c r="C18" i="17"/>
  <c r="D18" i="17"/>
  <c r="E18" i="17"/>
  <c r="C16" i="17"/>
  <c r="D16" i="17"/>
  <c r="C14" i="17"/>
  <c r="D14" i="17"/>
  <c r="E14" i="17"/>
  <c r="C7" i="17"/>
  <c r="D7" i="17"/>
  <c r="E7" i="17"/>
  <c r="C6" i="17"/>
  <c r="D6" i="17"/>
  <c r="E6" i="17"/>
  <c r="I21" i="41"/>
  <c r="E24" i="41" s="1"/>
  <c r="G4" i="17" s="1"/>
  <c r="J21" i="41"/>
  <c r="I24" i="41" s="1"/>
  <c r="K4" i="17" s="1"/>
  <c r="C4" i="17"/>
  <c r="D4" i="17"/>
  <c r="E4" i="17"/>
  <c r="C21" i="17"/>
  <c r="D30" i="44"/>
  <c r="F7" i="17" s="1"/>
  <c r="D36" i="31"/>
  <c r="F18" i="17" s="1"/>
  <c r="D34" i="32"/>
  <c r="F19" i="17" s="1"/>
  <c r="D24" i="60"/>
  <c r="D28" i="61"/>
  <c r="F26" i="17" s="1"/>
  <c r="D32" i="63"/>
  <c r="F30" i="17" s="1"/>
  <c r="D23" i="28"/>
  <c r="F14" i="17" s="1"/>
  <c r="D34" i="51"/>
  <c r="F17" i="17" s="1"/>
  <c r="D30" i="48"/>
  <c r="F12" i="17" s="1"/>
  <c r="G39" i="49"/>
  <c r="I13" i="17" s="1"/>
  <c r="D34" i="21"/>
  <c r="F5" i="17" s="1"/>
  <c r="F22" i="17"/>
  <c r="D24" i="41"/>
  <c r="F4" i="17" s="1"/>
  <c r="D24" i="22"/>
  <c r="D54" i="54"/>
  <c r="F33" i="17" s="1"/>
  <c r="D23" i="62"/>
  <c r="F25" i="17" s="1"/>
  <c r="D60" i="47"/>
  <c r="F11" i="17" s="1"/>
  <c r="F21" i="17"/>
  <c r="D13" i="17"/>
  <c r="K20" i="17"/>
  <c r="E21" i="71" l="1"/>
  <c r="F21" i="71" s="1"/>
  <c r="K21" i="60"/>
  <c r="K24" i="60" s="1"/>
  <c r="M22" i="17" s="1"/>
  <c r="J24" i="60"/>
  <c r="L22" i="17" s="1"/>
  <c r="K29" i="63"/>
  <c r="K32" i="63" s="1"/>
  <c r="M30" i="17" s="1"/>
  <c r="H12" i="71"/>
  <c r="E7" i="71"/>
  <c r="G33" i="17"/>
  <c r="K68" i="50"/>
  <c r="K71" i="50" s="1"/>
  <c r="M16" i="17" s="1"/>
  <c r="K74" i="52"/>
  <c r="K77" i="52" s="1"/>
  <c r="M21" i="17" s="1"/>
  <c r="C31" i="71"/>
  <c r="E24" i="17"/>
  <c r="G14" i="71"/>
  <c r="H14" i="71" s="1"/>
  <c r="G33" i="71"/>
  <c r="H33" i="71" s="1"/>
  <c r="G32" i="71"/>
  <c r="H32" i="71" s="1"/>
  <c r="G29" i="71"/>
  <c r="G27" i="71" s="1"/>
  <c r="C24" i="17"/>
  <c r="E24" i="71"/>
  <c r="F24" i="71" s="1"/>
  <c r="F77" i="52"/>
  <c r="H21" i="17" s="1"/>
  <c r="E18" i="71"/>
  <c r="F18" i="71" s="1"/>
  <c r="G15" i="71"/>
  <c r="H15" i="71" s="1"/>
  <c r="K31" i="51"/>
  <c r="K34" i="51" s="1"/>
  <c r="M17" i="17" s="1"/>
  <c r="C28" i="17"/>
  <c r="G24" i="17"/>
  <c r="E34" i="71"/>
  <c r="F34" i="71" s="1"/>
  <c r="F32" i="63"/>
  <c r="H30" i="17" s="1"/>
  <c r="J32" i="63"/>
  <c r="L30" i="17" s="1"/>
  <c r="F32" i="71"/>
  <c r="F24" i="17"/>
  <c r="F28" i="61"/>
  <c r="H26" i="17" s="1"/>
  <c r="H28" i="71"/>
  <c r="G26" i="71"/>
  <c r="H26" i="71" s="1"/>
  <c r="H24" i="60"/>
  <c r="J22" i="17" s="1"/>
  <c r="F22" i="69"/>
  <c r="H20" i="17" s="1"/>
  <c r="J22" i="69"/>
  <c r="L20" i="17" s="1"/>
  <c r="H34" i="32"/>
  <c r="J19" i="17" s="1"/>
  <c r="J71" i="50"/>
  <c r="L16" i="17" s="1"/>
  <c r="E16" i="71"/>
  <c r="F16" i="71" s="1"/>
  <c r="H24" i="76"/>
  <c r="J10" i="17" s="1"/>
  <c r="J24" i="76"/>
  <c r="L10" i="17" s="1"/>
  <c r="E12" i="71"/>
  <c r="F12" i="71" s="1"/>
  <c r="E10" i="71"/>
  <c r="F10" i="71" s="1"/>
  <c r="K51" i="54"/>
  <c r="K54" i="54" s="1"/>
  <c r="M33" i="17" s="1"/>
  <c r="F54" i="54"/>
  <c r="H33" i="17" s="1"/>
  <c r="K25" i="61"/>
  <c r="K28" i="61" s="1"/>
  <c r="M26" i="17" s="1"/>
  <c r="M24" i="17" s="1"/>
  <c r="F29" i="59"/>
  <c r="H23" i="17" s="1"/>
  <c r="G23" i="17"/>
  <c r="H29" i="59"/>
  <c r="J23" i="17" s="1"/>
  <c r="F24" i="60"/>
  <c r="H22" i="17" s="1"/>
  <c r="K19" i="69"/>
  <c r="K22" i="69" s="1"/>
  <c r="M20" i="17" s="1"/>
  <c r="F34" i="51"/>
  <c r="H17" i="17" s="1"/>
  <c r="K10" i="17"/>
  <c r="G10" i="17"/>
  <c r="F30" i="48"/>
  <c r="H12" i="17" s="1"/>
  <c r="D28" i="17"/>
  <c r="G34" i="17"/>
  <c r="H19" i="74"/>
  <c r="J34" i="17" s="1"/>
  <c r="K33" i="17"/>
  <c r="J54" i="54"/>
  <c r="L33" i="17" s="1"/>
  <c r="H54" i="54"/>
  <c r="J33" i="17" s="1"/>
  <c r="E28" i="17"/>
  <c r="F33" i="71"/>
  <c r="K35" i="53"/>
  <c r="K38" i="53" s="1"/>
  <c r="M29" i="17" s="1"/>
  <c r="J35" i="53"/>
  <c r="I38" i="53" s="1"/>
  <c r="J28" i="61"/>
  <c r="L26" i="17" s="1"/>
  <c r="K26" i="17"/>
  <c r="H28" i="61"/>
  <c r="J26" i="17" s="1"/>
  <c r="F29" i="71"/>
  <c r="F27" i="71" s="1"/>
  <c r="F23" i="62"/>
  <c r="H25" i="17" s="1"/>
  <c r="K26" i="59"/>
  <c r="K29" i="59" s="1"/>
  <c r="M23" i="17" s="1"/>
  <c r="J77" i="52"/>
  <c r="L21" i="17" s="1"/>
  <c r="H77" i="52"/>
  <c r="J21" i="17" s="1"/>
  <c r="D30" i="71"/>
  <c r="D35" i="71" s="1"/>
  <c r="J34" i="32"/>
  <c r="L19" i="17" s="1"/>
  <c r="F34" i="32"/>
  <c r="H19" i="17" s="1"/>
  <c r="J36" i="31"/>
  <c r="L18" i="17" s="1"/>
  <c r="K18" i="17"/>
  <c r="D15" i="17"/>
  <c r="D8" i="17" s="1"/>
  <c r="F36" i="31"/>
  <c r="H18" i="17" s="1"/>
  <c r="H36" i="31"/>
  <c r="J18" i="17" s="1"/>
  <c r="G20" i="71"/>
  <c r="H20" i="71" s="1"/>
  <c r="F20" i="71"/>
  <c r="C15" i="17"/>
  <c r="C8" i="17" s="1"/>
  <c r="E15" i="17"/>
  <c r="E8" i="17" s="1"/>
  <c r="H19" i="71"/>
  <c r="K17" i="17"/>
  <c r="J34" i="51"/>
  <c r="L17" i="17" s="1"/>
  <c r="H34" i="51"/>
  <c r="J17" i="17" s="1"/>
  <c r="E19" i="71"/>
  <c r="F71" i="50"/>
  <c r="H16" i="17" s="1"/>
  <c r="G16" i="17"/>
  <c r="G15" i="17" s="1"/>
  <c r="K16" i="17"/>
  <c r="H18" i="71"/>
  <c r="C17" i="71"/>
  <c r="C11" i="71" s="1"/>
  <c r="I16" i="17"/>
  <c r="I15" i="17" s="1"/>
  <c r="H71" i="50"/>
  <c r="J16" i="17" s="1"/>
  <c r="J60" i="47"/>
  <c r="L11" i="17" s="1"/>
  <c r="K60" i="47"/>
  <c r="M11" i="17" s="1"/>
  <c r="G13" i="71"/>
  <c r="H13" i="71" s="1"/>
  <c r="K11" i="17"/>
  <c r="F13" i="71"/>
  <c r="F24" i="76"/>
  <c r="H10" i="17" s="1"/>
  <c r="F30" i="44"/>
  <c r="H7" i="17" s="1"/>
  <c r="F25" i="68"/>
  <c r="H9" i="17" s="1"/>
  <c r="H25" i="68"/>
  <c r="J9" i="17" s="1"/>
  <c r="J25" i="68"/>
  <c r="L9" i="17" s="1"/>
  <c r="F9" i="17"/>
  <c r="H30" i="44"/>
  <c r="J7" i="17" s="1"/>
  <c r="E9" i="71"/>
  <c r="F9" i="71" s="1"/>
  <c r="K21" i="22"/>
  <c r="K24" i="22" s="1"/>
  <c r="M6" i="17" s="1"/>
  <c r="G9" i="71"/>
  <c r="H9" i="71" s="1"/>
  <c r="I31" i="21"/>
  <c r="E34" i="21" s="1"/>
  <c r="G5" i="17" s="1"/>
  <c r="G3" i="17" s="1"/>
  <c r="I5" i="17"/>
  <c r="I3" i="17" s="1"/>
  <c r="G8" i="71"/>
  <c r="H8" i="71" s="1"/>
  <c r="D3" i="17"/>
  <c r="C6" i="71"/>
  <c r="H7" i="71"/>
  <c r="F7" i="71"/>
  <c r="C3" i="17"/>
  <c r="K21" i="41"/>
  <c r="K24" i="41" s="1"/>
  <c r="M4" i="17" s="1"/>
  <c r="J24" i="41"/>
  <c r="L4" i="17" s="1"/>
  <c r="H24" i="41"/>
  <c r="J4" i="17" s="1"/>
  <c r="F24" i="41"/>
  <c r="H4" i="17" s="1"/>
  <c r="K30" i="48"/>
  <c r="M12" i="17" s="1"/>
  <c r="K27" i="44"/>
  <c r="K30" i="44" s="1"/>
  <c r="M7" i="17" s="1"/>
  <c r="H30" i="48"/>
  <c r="J12" i="17" s="1"/>
  <c r="K31" i="21"/>
  <c r="K34" i="21" s="1"/>
  <c r="M5" i="17" s="1"/>
  <c r="I30" i="48"/>
  <c r="F60" i="47"/>
  <c r="H11" i="17" s="1"/>
  <c r="G11" i="17"/>
  <c r="J31" i="21"/>
  <c r="I34" i="21" s="1"/>
  <c r="G14" i="17"/>
  <c r="F23" i="28"/>
  <c r="H14" i="17" s="1"/>
  <c r="J27" i="44"/>
  <c r="I30" i="44" s="1"/>
  <c r="I30" i="17"/>
  <c r="I28" i="17" s="1"/>
  <c r="H32" i="63"/>
  <c r="J30" i="17" s="1"/>
  <c r="H23" i="62"/>
  <c r="J25" i="17" s="1"/>
  <c r="I25" i="17"/>
  <c r="I24" i="17" s="1"/>
  <c r="H23" i="28"/>
  <c r="J14" i="17" s="1"/>
  <c r="F24" i="22"/>
  <c r="H6" i="17" s="1"/>
  <c r="F6" i="17"/>
  <c r="F3" i="17" s="1"/>
  <c r="H24" i="22"/>
  <c r="J6" i="17" s="1"/>
  <c r="E3" i="17"/>
  <c r="J24" i="22"/>
  <c r="L6" i="17" s="1"/>
  <c r="H24" i="71"/>
  <c r="C27" i="71"/>
  <c r="F20" i="72"/>
  <c r="H31" i="17" s="1"/>
  <c r="H20" i="72"/>
  <c r="J31" i="17" s="1"/>
  <c r="K31" i="32"/>
  <c r="K34" i="32" s="1"/>
  <c r="M19" i="17" s="1"/>
  <c r="E38" i="53"/>
  <c r="F28" i="17"/>
  <c r="H22" i="71"/>
  <c r="F22" i="71"/>
  <c r="F25" i="71"/>
  <c r="G25" i="71"/>
  <c r="H25" i="71" s="1"/>
  <c r="K31" i="17"/>
  <c r="J20" i="72"/>
  <c r="L31" i="17" s="1"/>
  <c r="I39" i="49"/>
  <c r="J23" i="28"/>
  <c r="L14" i="17" s="1"/>
  <c r="J29" i="59"/>
  <c r="L23" i="17" s="1"/>
  <c r="F15" i="17"/>
  <c r="K25" i="17"/>
  <c r="J23" i="62"/>
  <c r="L25" i="17" s="1"/>
  <c r="H22" i="69"/>
  <c r="J20" i="17" s="1"/>
  <c r="K33" i="31"/>
  <c r="K36" i="31" s="1"/>
  <c r="M18" i="17" s="1"/>
  <c r="D24" i="17"/>
  <c r="F15" i="71"/>
  <c r="G13" i="17"/>
  <c r="F39" i="49"/>
  <c r="H13" i="17" s="1"/>
  <c r="H39" i="49"/>
  <c r="J13" i="17" s="1"/>
  <c r="G8" i="17" l="1"/>
  <c r="G27" i="17" s="1"/>
  <c r="K15" i="17"/>
  <c r="G60" i="47"/>
  <c r="I11" i="17" s="1"/>
  <c r="I8" i="17" s="1"/>
  <c r="H29" i="71"/>
  <c r="H27" i="71" s="1"/>
  <c r="G6" i="71"/>
  <c r="F6" i="71"/>
  <c r="F34" i="21"/>
  <c r="H5" i="17" s="1"/>
  <c r="H17" i="71"/>
  <c r="H11" i="71" s="1"/>
  <c r="G31" i="71"/>
  <c r="H24" i="17"/>
  <c r="E17" i="71"/>
  <c r="E11" i="71" s="1"/>
  <c r="E31" i="71"/>
  <c r="F31" i="71"/>
  <c r="G17" i="71"/>
  <c r="G11" i="71" s="1"/>
  <c r="F19" i="71"/>
  <c r="F17" i="71" s="1"/>
  <c r="F11" i="71" s="1"/>
  <c r="D27" i="17"/>
  <c r="D35" i="17" s="1"/>
  <c r="E6" i="71"/>
  <c r="H31" i="71"/>
  <c r="M28" i="17"/>
  <c r="J38" i="53"/>
  <c r="L29" i="17" s="1"/>
  <c r="K29" i="17"/>
  <c r="K28" i="17" s="1"/>
  <c r="K24" i="17"/>
  <c r="L24" i="17" s="1"/>
  <c r="J24" i="17"/>
  <c r="E27" i="17"/>
  <c r="E35" i="17" s="1"/>
  <c r="J15" i="17"/>
  <c r="C27" i="17"/>
  <c r="C35" i="17" s="1"/>
  <c r="J39" i="49"/>
  <c r="L13" i="17" s="1"/>
  <c r="K39" i="49"/>
  <c r="M13" i="17" s="1"/>
  <c r="C30" i="71"/>
  <c r="C35" i="71" s="1"/>
  <c r="H34" i="21"/>
  <c r="J5" i="17" s="1"/>
  <c r="J3" i="17" s="1"/>
  <c r="H6" i="71"/>
  <c r="M3" i="17"/>
  <c r="K13" i="17"/>
  <c r="H3" i="17"/>
  <c r="M15" i="17"/>
  <c r="J30" i="48"/>
  <c r="L12" i="17" s="1"/>
  <c r="K12" i="17"/>
  <c r="J30" i="44"/>
  <c r="L7" i="17" s="1"/>
  <c r="K7" i="17"/>
  <c r="K5" i="17"/>
  <c r="J34" i="21"/>
  <c r="L5" i="17" s="1"/>
  <c r="H15" i="17"/>
  <c r="F8" i="17"/>
  <c r="F38" i="53"/>
  <c r="H29" i="17" s="1"/>
  <c r="G29" i="17"/>
  <c r="G28" i="17" s="1"/>
  <c r="H38" i="53"/>
  <c r="J29" i="17" s="1"/>
  <c r="J28" i="17" s="1"/>
  <c r="K8" i="17" l="1"/>
  <c r="L8" i="17" s="1"/>
  <c r="M8" i="17"/>
  <c r="M27" i="17" s="1"/>
  <c r="L15" i="17"/>
  <c r="H60" i="47"/>
  <c r="J11" i="17" s="1"/>
  <c r="J8" i="17" s="1"/>
  <c r="J27" i="17" s="1"/>
  <c r="J35" i="17" s="1"/>
  <c r="I27" i="17"/>
  <c r="I35" i="17" s="1"/>
  <c r="H28" i="17"/>
  <c r="G35" i="17"/>
  <c r="L28" i="17"/>
  <c r="G30" i="71"/>
  <c r="G35" i="71" s="1"/>
  <c r="F30" i="71"/>
  <c r="F35" i="71" s="1"/>
  <c r="E30" i="71"/>
  <c r="E35" i="71" s="1"/>
  <c r="K3" i="17"/>
  <c r="L3" i="17" s="1"/>
  <c r="H30" i="71"/>
  <c r="H35" i="71" s="1"/>
  <c r="H8" i="17"/>
  <c r="F27" i="17"/>
  <c r="F35" i="17" s="1"/>
  <c r="M35" i="17" l="1"/>
  <c r="N27" i="17"/>
  <c r="K27" i="17"/>
  <c r="L27" i="17" s="1"/>
  <c r="H27" i="17"/>
  <c r="H35" i="17"/>
  <c r="K35" i="17" l="1"/>
  <c r="L35" i="17" l="1"/>
</calcChain>
</file>

<file path=xl/sharedStrings.xml><?xml version="1.0" encoding="utf-8"?>
<sst xmlns="http://schemas.openxmlformats.org/spreadsheetml/2006/main" count="2397" uniqueCount="867">
  <si>
    <t>ENERGIA</t>
  </si>
  <si>
    <t>ACUEDUCTO Y ALCANTARILLADO</t>
  </si>
  <si>
    <t>ASEO</t>
  </si>
  <si>
    <t>TELEFONO</t>
  </si>
  <si>
    <t>IMPUESTOS, TASAS, CONTRIBUCIONES, DERECHOS Y MULTAS</t>
  </si>
  <si>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</si>
  <si>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</si>
  <si>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</si>
  <si>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</si>
  <si>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</si>
  <si>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</si>
  <si>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</si>
  <si>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</si>
  <si>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</si>
  <si>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</si>
  <si>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</si>
  <si>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</si>
  <si>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</si>
  <si>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</si>
  <si>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</si>
  <si>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</si>
  <si>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</si>
  <si>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</si>
  <si>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</si>
  <si>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</si>
  <si>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</si>
  <si>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</si>
  <si>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MODIFICACIONES</t>
  </si>
  <si>
    <t>FECHA</t>
  </si>
  <si>
    <t>GIROS</t>
  </si>
  <si>
    <t>SUSPENSION</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</si>
  <si>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</si>
  <si>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</si>
  <si>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</si>
  <si>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</si>
  <si>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</si>
  <si>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</si>
  <si>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</si>
  <si>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</si>
  <si>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</si>
  <si>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</si>
  <si>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</si>
  <si>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</si>
  <si>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</si>
  <si>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</si>
  <si>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DOTACION</t>
  </si>
  <si>
    <t>GASTOS DE COMPUTADOR</t>
  </si>
  <si>
    <t>GASTOS DE TRANSPORTE Y COMUNICACIÓN</t>
  </si>
  <si>
    <t>IMPRESOS Y PUBLICACIONES</t>
  </si>
  <si>
    <t>MANTENIMIENTO ENTIDAD</t>
  </si>
  <si>
    <t>SEGUROS ENTIDAD</t>
  </si>
  <si>
    <t>SERVICIOS PUBLICOS</t>
  </si>
  <si>
    <t>BIENESTAR E INCENTIVOS</t>
  </si>
  <si>
    <t>PROMOCION INSTITUCIONAL</t>
  </si>
  <si>
    <t>SALUD OCUPACIONAL</t>
  </si>
  <si>
    <t xml:space="preserve">CODIGO </t>
  </si>
  <si>
    <t>SALDO POR</t>
  </si>
  <si>
    <t>GIRAR</t>
  </si>
  <si>
    <t>APROPIACION INICIAL</t>
  </si>
  <si>
    <t>APROPIACION DISPONIBLE</t>
  </si>
  <si>
    <t>SALDO DISPONIBLE</t>
  </si>
  <si>
    <t>TOTAL GIROS</t>
  </si>
  <si>
    <t>% EJECUCION</t>
  </si>
  <si>
    <t>SERVICIOS PERSONALES</t>
  </si>
  <si>
    <t>APORTES PATRONALES</t>
  </si>
  <si>
    <t>GASTOS GENERALES</t>
  </si>
  <si>
    <t>TOTAL FUNCIONAMIENTO</t>
  </si>
  <si>
    <t>RUBRO PRESUPUESTAL</t>
  </si>
  <si>
    <t>SALDO POR GIRAR</t>
  </si>
  <si>
    <t>6 = (5 / 4)</t>
  </si>
  <si>
    <t>8 = (4-5-7)</t>
  </si>
  <si>
    <t>No. C.D.P.</t>
  </si>
  <si>
    <t>COMBUSTIBLES, LUBRICANTES Y LLANTAS</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</si>
  <si>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</si>
  <si>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</si>
  <si>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</si>
  <si>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</si>
  <si>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</si>
  <si>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</si>
  <si>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</si>
  <si>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</si>
  <si>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</si>
  <si>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</si>
  <si>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</si>
  <si>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</si>
  <si>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</si>
  <si>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</si>
  <si>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</si>
  <si>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</si>
  <si>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</si>
  <si>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</si>
  <si>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</si>
  <si>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SERVICIOS PERSONALES - ASOCIADOS A LA NOMINA</t>
  </si>
  <si>
    <t>NOMINA</t>
  </si>
  <si>
    <t>HONORARIOS</t>
  </si>
  <si>
    <t>SECRETARIA DISTRITAL DE GOBIERNO</t>
  </si>
  <si>
    <t>RESUMEN EJECUCION DE GASTOS DE FUNCIONAMIENTO</t>
  </si>
  <si>
    <t>EJECUCION DETALLADA DE UN RUBRO PRESUPUESTAL</t>
  </si>
  <si>
    <t>% GIROS</t>
  </si>
  <si>
    <t>10 = (9 / 4)</t>
  </si>
  <si>
    <t>11 = (5 - 9)</t>
  </si>
  <si>
    <t>3-1-2-01-02</t>
  </si>
  <si>
    <t>3-1-2-01-01</t>
  </si>
  <si>
    <t>3-1-2-01-03</t>
  </si>
  <si>
    <t>3-1-2-02-03</t>
  </si>
  <si>
    <t>3-1-2-01-04</t>
  </si>
  <si>
    <t>3-1-2-02-04</t>
  </si>
  <si>
    <t>3-1-2-02-05</t>
  </si>
  <si>
    <t>3-1-2-02-06</t>
  </si>
  <si>
    <t>3-1-2-02-08-01</t>
  </si>
  <si>
    <t>3-1-2-02-08-02</t>
  </si>
  <si>
    <t>3-1-2-02-08-03</t>
  </si>
  <si>
    <t>3-1-2-02-08-04</t>
  </si>
  <si>
    <t>3-1-2-02-10</t>
  </si>
  <si>
    <t>3-1-2-02-11</t>
  </si>
  <si>
    <t>3-1-2-02-12</t>
  </si>
  <si>
    <t>3-1-2-03-01</t>
  </si>
  <si>
    <t>SENTENCIAS JUDICIALES - OTRAS SENTENCIAS</t>
  </si>
  <si>
    <t>3-1-2-03-02</t>
  </si>
  <si>
    <t>3.1.2</t>
  </si>
  <si>
    <t>3.1.1</t>
  </si>
  <si>
    <t>3.1.1.01</t>
  </si>
  <si>
    <t>3.1.1.03</t>
  </si>
  <si>
    <t>3.1.1.02.03</t>
  </si>
  <si>
    <t>3.1</t>
  </si>
  <si>
    <t>MATERIALES Y SUMINISTROS</t>
  </si>
  <si>
    <t>3-1-2-02-09-01</t>
  </si>
  <si>
    <t>Capacitación Interna</t>
  </si>
  <si>
    <t>3.1.2.02.09.01</t>
  </si>
  <si>
    <t xml:space="preserve"> </t>
  </si>
  <si>
    <t>SOLICITANTE</t>
  </si>
  <si>
    <t>TOTAL</t>
  </si>
  <si>
    <t>MODIFICACION</t>
  </si>
  <si>
    <t>3-1-2-02-01</t>
  </si>
  <si>
    <t>ARRENDAMIENTOS</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</si>
  <si>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</si>
  <si>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</si>
  <si>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</si>
  <si>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</si>
  <si>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</si>
  <si>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</si>
  <si>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</si>
  <si>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</si>
  <si>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</si>
  <si>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</si>
  <si>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</si>
  <si>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</si>
  <si>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</si>
  <si>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REMUNERACION SERVICIOS TÉCNICOS</t>
  </si>
  <si>
    <t>3.1.1.02.04</t>
  </si>
  <si>
    <t>REMUNERACION SERVICIOS TECNICOS</t>
  </si>
  <si>
    <t>3.1.5</t>
  </si>
  <si>
    <t>PASIVOS EXIGIBLES</t>
  </si>
  <si>
    <t>3-1-2-02-02</t>
  </si>
  <si>
    <t>Viáticos y Gastos de Viaje</t>
  </si>
  <si>
    <t>3.1.2.02.02</t>
  </si>
  <si>
    <t>Viáticos y Gastos de viajes</t>
  </si>
  <si>
    <t>3-1-1-02-99</t>
  </si>
  <si>
    <t>Otros Gastos de Personal</t>
  </si>
  <si>
    <t>OTROS GASTOS DE PERSONAL</t>
  </si>
  <si>
    <t>FACTURA 76042714</t>
  </si>
  <si>
    <t>Directv Colombia Ltda</t>
  </si>
  <si>
    <t>FACTURA 4932133178</t>
  </si>
  <si>
    <t>Codensa S. A. Esp</t>
  </si>
  <si>
    <t>FACTURA 2393999001</t>
  </si>
  <si>
    <t>FACTURA 9281</t>
  </si>
  <si>
    <t>Diecisiete (17) Facturas De La Empresa De Acueducto Agua Alcantarillado Y Aseo De Bogota, Inicia N°. 23939990018 Servicio De Agua Y Alcantarillado De Edificio Furatena, Consejo De Justicia E Inspecciones De Policia De Teusaquillo, Fontibon, Antonio Nariño, Barrios Unidos Y Chapinero. Periodo Facturado Del 16 De Septiembre Al 15 De Noviembre De 2017. Total A Pagar $9.461.330</t>
  </si>
  <si>
    <t>Factura De La Empresa Acueducto Y Alcantarillado De La Corregiduria De Pasquilla. Factura N° 9281. Periodo Facturado Del 01 De Diciembre Al 30 De Diciembre De 2017. Total A Pagar $17.891</t>
  </si>
  <si>
    <t>Empresa De Acueducto Alcantarillado Y Aseo De Bogota Esp</t>
  </si>
  <si>
    <t>Asociacion De Usuarios De Acueducto Alcantarillado Y Aseo Pasquilla A.A.P.C.</t>
  </si>
  <si>
    <t>FACTURA 3069509141</t>
  </si>
  <si>
    <t>Siete (7) Facturaa De La Empresa De Acueducto, Alcantarillado Y Aseo De Bogota E.S.P. Correspondiente Al Consejo De Justicia, Edificio Furatena, Inspecciones De Policia De Teusaquillo, Fontibon, Antonio Nariño, Chapinero Y Barrios Unidos. Inicia Con N°. 30695091410  Periodo Facturado Del 19 De Agosto Al 17 De Octubre De 2017. Total A Pagar $4.195.600</t>
  </si>
  <si>
    <t>Dirección Administrativa</t>
  </si>
  <si>
    <t>Pago servicio público de energia</t>
  </si>
  <si>
    <t>Pago servicio de acueducto y alcantarillado</t>
  </si>
  <si>
    <t>Pago Servicio Publico De Aseo Para Las Dependencias Del Nivel Central Sdg</t>
  </si>
  <si>
    <t>Servicio público de teléfono</t>
  </si>
  <si>
    <t>Dirección de Tecnologías e Información</t>
  </si>
  <si>
    <t>Saldo</t>
  </si>
  <si>
    <t>C.A 440</t>
  </si>
  <si>
    <t>Entregar a título de arrendamiento a la Secretaría Distrital de Gobierno, el uso y goce del inmueble ubicado y con la nomenclatura en la carrera 75 No. 23 F-07 del barrio Modelia en la localidad de Fontibón - Bogotá D.C. identificado con el folio de matrícula inmobiliaria No. 50C-266037</t>
  </si>
  <si>
    <t>FACTURA 170519737</t>
  </si>
  <si>
    <t>C. C.V. 581</t>
  </si>
  <si>
    <t>C. C.V 586</t>
  </si>
  <si>
    <t>C.P.S 575</t>
  </si>
  <si>
    <t>C. C.V 566</t>
  </si>
  <si>
    <t>Adquirir la suscripción de seis (06) ejemplares del Diario EL TIEMPO  con destino Despacho de la Secretaria Distrital de Gobierno, las Subsecretarías de Gestión Institucional, de Gestión Local  y para la Gobernabilidad y la Garantía de Derechos, la Oficina Asesora de Comunicaciones, y para el Consejo de Justicia  y de dos (2) ejemplares del Periódico PORTAFOLIO con destino Despacho de la Secretaria Distrital de Gobierno y la Oficina Asesora de Comunicaciones</t>
  </si>
  <si>
    <t>Adquirir la suscripción de cinco (05) ejemplares del Diario EL ESPECTADOR  con destino Despacho de la Secretaria Distrital de Gobierno, las Subsecretarías de Gestión Institucional, de Gestión Local  y para la Gobernabilidad y la Garantía de Derechos y para  la Oficina Asesora de Comunicaciones</t>
  </si>
  <si>
    <t>Adquirir la suscripción de cinco (05) ejemplares del periódico LA REPUBLICA con destino Despacho de la Secretaria Distrital de Gobierno, las Subsecretarías de Gestión Institucional, de Gestión Local y para la Gobernabilidad y la Garantía de Derechos y para la Oficina Asesora de Comunicaciones</t>
  </si>
  <si>
    <t>Adquirir la suscripción de dos (02) ejemplares de las revistas SEMANA y DINERO con destino Despacho de la Secretaria Distrital de Gobierno y para  la Oficina Asesora de Comunicaciones</t>
  </si>
  <si>
    <t>C.P.S 392</t>
  </si>
  <si>
    <t>C.O 554</t>
  </si>
  <si>
    <t>FACTURA 4937022969</t>
  </si>
  <si>
    <t>FACTURA 1625187843</t>
  </si>
  <si>
    <t>FACTURA 247564473</t>
  </si>
  <si>
    <t>RA 1</t>
  </si>
  <si>
    <t>RA 2</t>
  </si>
  <si>
    <t>Pago de cesantias e intereses de cesantias  de servidores públicos de planta de funcionamiento enero 2018</t>
  </si>
  <si>
    <t>RA 6</t>
  </si>
  <si>
    <t>Nómina adicional para atender el pago de Lady Johana Medina</t>
  </si>
  <si>
    <t>RA 7</t>
  </si>
  <si>
    <t>Nómina adicional para atender el pago de los intereses de cesantias Lady Johana Medina</t>
  </si>
  <si>
    <t>C.P.S 481</t>
  </si>
  <si>
    <t>Prestar los servicios técnicos en la Dirección de Gestión del Talento Humano para apoyar el proceso de determinación y depuración de la deuda presunta y real reportada por Colpensiones y los diferentes fondos de pensiones privados a la Secretaria Distrital de Gobierno.</t>
  </si>
  <si>
    <t>Realizar la adquisición del servicio de plataforma paas en la nube, con componentes de base de datos oracle y capa media, disponibles para ambientes de pruebas y desarrollo para la secretaría distrital de gobierno,  a través del acuerdo marco de precios no. cce-211-ag-2015</t>
  </si>
  <si>
    <t>Prestar el servicio de soporte técnico y actualización - (software update license &amp; support) para el software de la plataforma oracle de propiedad de la secretaría distrital de gobierno</t>
  </si>
  <si>
    <t>Oracle Colombia Limitada</t>
  </si>
  <si>
    <t>Ofelia  Ramos De Vargas</t>
  </si>
  <si>
    <t>Pago servicio de telefonia celular para los directivos</t>
  </si>
  <si>
    <t>Pago servicio de television por cable para las dependencias del nivel central de la sdg</t>
  </si>
  <si>
    <t>Pago servicio de telefonia  avantel para las dependencias del nivel central de la sdg</t>
  </si>
  <si>
    <t>Factura del servicio de direct tv con factura n°. 76042714periodo facturado anticipado del 12 de enero al 11 de febrero de 2018total a pagar $112.600</t>
  </si>
  <si>
    <t>Factura de servicios publicos de colombia móvil s.a.  esp n°. bi-0170519737predio ubicado en la cl 11 8 17   -  secretaria distrital de gobiernoperiodo facturado del 05 de diciembre de 2017 al 04 de enero de 2016total a pagar $3.499.269</t>
  </si>
  <si>
    <t>Colombia Movil S A E S P</t>
  </si>
  <si>
    <t>Casa Editorial El Tiempo S A</t>
  </si>
  <si>
    <t>Comunican S A</t>
  </si>
  <si>
    <t>Editorial La Republica Sas</t>
  </si>
  <si>
    <t>Publicaciones Semana S.A.</t>
  </si>
  <si>
    <t>Adicion y prorroga no. 2 contrato de prestacion de servicios no. 392 de 2017 suscrito con seguridad nueva era ltda</t>
  </si>
  <si>
    <t>Adición no. 2 al contrato de obra no. 554 de  2017 por medio del cual se realiza el mantenimiento preventivo, correctivo, obras de mejora y reparaciones locativas que se requieran en las instalaciones de las dependencias del nivel central de la secretaría distrital de gobierno</t>
  </si>
  <si>
    <t>Seguridad Nueva Era Ltda</t>
  </si>
  <si>
    <t>Gustavo Adolfo Torres Duarte</t>
  </si>
  <si>
    <t>Factura de servicios publicos de codensa s.a. esp n°. 493213317-8predio ubicado en la kr 43 80-48   -  inspección de policia de barrios unidosperiodo facturado del 20 de noviembre al 19 de diciembre de 2017total a pagar $573.110</t>
  </si>
  <si>
    <t>Factura de servicios publicos de codensa s.a. esp n°. 493702296-9predio ubicado en la kr 22 n°66a  14 - predio entregado por el dadep  a la  secretaria distrital de gobiernoperiodo facturado del 23 de noviembre al 22 de diciembre de 2017total a pagar $69.120</t>
  </si>
  <si>
    <t>Comprobante de servicios publicos de codensa s.a. esp n°. 162518784-3predio ubicado en la kr 8 10-65  - alcaldia mayor de bogotáperiodo facturado del 11 de diciembre de 2017  al 10 de enero de 2018total a pagar $26.284.589</t>
  </si>
  <si>
    <t>Dos (2) factura de servicios publicos de etb s.a.  esp inicia  n°. 247564473predio ubicado en la cl 11 8 17   -  secretaria distrital de gobierno - inspeccionesperiodo facturado  del 01 al 31 de  diciembre de 2017 total a pagar $14.597.810</t>
  </si>
  <si>
    <t>Empresa De Telecomunicaciones De Bogota Sa Esp</t>
  </si>
  <si>
    <t>Secreataria Distrital De Gobierno</t>
  </si>
  <si>
    <t>Nomina general de enero</t>
  </si>
  <si>
    <t>Jeimer  Guarnizo Gomez</t>
  </si>
  <si>
    <t>FACTURA 2393998691</t>
  </si>
  <si>
    <t>Factura de la empresa de acueducto agua alcantarillado y aseo de bogota,  n°. 23939986917servicio de agua y alcantarillado de la inspecciones de policia de usaquen.periodo facturado del 16 de septiembre al 15 de noviembre de 2017. total a pagar $192.950.</t>
  </si>
  <si>
    <t>FACTURA 3688176951</t>
  </si>
  <si>
    <t>Factura de la empresa de acueducto, alcantarillado y aseo de bogota e.s.p. n° 36881769511correspondiente al predio ubicado en la calle 119 n° 6 48 colegio general santander periodo facturado del 22 de octubre al 20 de diciembre de 2017. total a pagar $91.889</t>
  </si>
  <si>
    <t>Pago de delegaciones mes de noviembre de 2017</t>
  </si>
  <si>
    <t>Dirección de Gestión del Talento Humano</t>
  </si>
  <si>
    <t>Renovación de la suscripción de licenciamiento, de la suite de protección de seguridad integral (antivirus) y realizar el monitoreo, soporte especializado para la Secretaria Distrital de  Gobierno</t>
  </si>
  <si>
    <t>Realizar el mantenimiento, la instalación, reubicación, y recertificación del cableado estructurado de la secretaria distrital de gobierno</t>
  </si>
  <si>
    <t>A.O 562</t>
  </si>
  <si>
    <t>Adición y prorroga al contrato no. 562 de 2017 suscrito por la secretaría distrital de gobierno y high security technology sas</t>
  </si>
  <si>
    <t>High Security Technology S A S</t>
  </si>
  <si>
    <t>C. INTERAD. 430</t>
  </si>
  <si>
    <t>FACTURA 57275584</t>
  </si>
  <si>
    <t>Prorroga n° 2 y adicion n° 1 al contrato interadministrativo n° 430 de 2017 suscrito entre la secretaria distrital de gobierno y servicios postales nacionales s.a.</t>
  </si>
  <si>
    <t>Factura del servicio de direct tv con factura n°. 57275584periodo facturado anticipado del 12 de febrero al 11 de marzo de 2018total a pagar $112.600</t>
  </si>
  <si>
    <t>Servicios Postales Nacionales S A</t>
  </si>
  <si>
    <t>Adicion y prorroga a la orden de compra 312 de 2017,  la cual tiene por objeto la prestación del servicio integral de aseo y cafetería para las dependencias y proyectos del nivel central de la secretaría distrital de gobierno</t>
  </si>
  <si>
    <t>FACTURA 4973959140</t>
  </si>
  <si>
    <t>Factura de servicios publicos de codensa s.a. esp n°. 497395914-0predio ubicado en la cl 46 14 22/28   -  consejo de justicia de teusaquilloperiodo facturado del 27 de diciembre de 2017 al 29 de enero de 2018total a pagar $289.800</t>
  </si>
  <si>
    <t>FACTURA 9502</t>
  </si>
  <si>
    <t>Factura de la empresa acueducto y alcantarillado de la corregiduria de pasquilla. factura n° 9502. predio ubicado en vereda pasquillaperiodo facturado del 01 de enero al 30 de enero de 2018. total a pagar $18.584</t>
  </si>
  <si>
    <t>RA 8</t>
  </si>
  <si>
    <t>Pago de la autoliquidación de la nómina general de enero de 2018- planta de funcionamiento.</t>
  </si>
  <si>
    <t>RESOLUCION 71</t>
  </si>
  <si>
    <t>Secretaria Distrital de Gobierno</t>
  </si>
  <si>
    <t>Entregar a título de compraventa las órdenes de dotación de calzado para el personal administrativo con derecho y los conductores de la Secretaria Distrital de Gobierno</t>
  </si>
  <si>
    <t xml:space="preserve">Nómina general de febrero 2018 </t>
  </si>
  <si>
    <t>RA 10</t>
  </si>
  <si>
    <t>Pago de cesantias a Servidores Públicos</t>
  </si>
  <si>
    <t>RA 14</t>
  </si>
  <si>
    <t>Factura de servicios publicos de colombia móvil s.a.  esp n°. bs00407507predio ubicado en la kr  8   10  65   -  secretaria distrital de gobiernocompra de un iphone 7 black 32gb-lae mn8x2lz/atotal a pagar $2.759.570</t>
  </si>
  <si>
    <t>O.C. 312</t>
  </si>
  <si>
    <t>Ladoinsa Labores Dotaciones Industriales Sas</t>
  </si>
  <si>
    <t>FACTURA 4984543548</t>
  </si>
  <si>
    <t>Pago servicio publico de energia  para el predio con nomenclatura kr 75 no. 23 f 07 inspecciones de policia de fontibonperiodo facturado 7 de diciembre al 6 de febrero de 2018factura de servicios publicos no. 498454354-8total a pagar  $ 557.700</t>
  </si>
  <si>
    <t>RES 63</t>
  </si>
  <si>
    <t>Corporacion Universidad Libre</t>
  </si>
  <si>
    <t>Escuela Superior De Administracion Publica</t>
  </si>
  <si>
    <t>Fundacion Universidad Autonoma De Colombia</t>
  </si>
  <si>
    <t>Corporacion Universitaria Minuto De Dios - Uniminuto</t>
  </si>
  <si>
    <t>Universidad Nacional Abierta Y A Distancia</t>
  </si>
  <si>
    <t>Universidad La Gran Colombia</t>
  </si>
  <si>
    <t>Universidad Ean</t>
  </si>
  <si>
    <t>Universidad Del Valle</t>
  </si>
  <si>
    <t>Politecnico Grancolombiano</t>
  </si>
  <si>
    <t>Fundacion Universidad Externado De Colombia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</si>
  <si>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Calderon Martha Lucia.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</si>
  <si>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Diaz Acevedo Juan Carlos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</si>
  <si>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Díaz Suarez Yurani Alejandra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</si>
  <si>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Ortiz Bermudez Maria de los Angeles</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</si>
  <si>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Rincon Gómez Yeni Alexandra.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</si>
  <si>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Ceron Morales Nubia Consuelo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</si>
  <si>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Perdomo Ortega Paola Rocio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</si>
  <si>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Sarmiento Moreno Nubia Liliana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</si>
  <si>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Restrepo Rojas Victor Manuel</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</si>
  <si>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Leon Vargas Edison</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</si>
  <si>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Acevedo Dalila Luz Stella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</si>
  <si>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Valenzuela Ramos Deyanira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</si>
  <si>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Delgado Aguilar Cesar Augusto</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</si>
  <si>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Merchan Velasquez Liliana Paola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</si>
  <si>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Salcedo Nathalia Marcela</t>
  </si>
  <si>
    <t>Por la cual se otorga un incentivo de auxilio para educación formal de conformidad con lo previsto en la resolución 027 del 18 de enero de 2018.reconocer y otorgar como  incentivo no pecuario, una contribución económica para financiar la educación formal a los servidores públicos, conforme se especifica a continuación: Ochoa León Patricia.</t>
  </si>
  <si>
    <t>Reconocimiento y pago del servicio extra prestado por los delegados de la secretaría distrital de gobierno de bogotá d.c en la supervisión de los concursos y los sorteos realizados por las loterías, los consorcios comerciales y los juegos promocionales en el mes de diciembre de 2017 y del tiempo excedido durante el servicio</t>
  </si>
  <si>
    <t>RA 15</t>
  </si>
  <si>
    <t>Pago se aportes patronales y parafiscales por el reintegro de salarios de la Alcaldesa Local de Engativa, Angela Vianney Ortiz Roldan</t>
  </si>
  <si>
    <t>C.A. 440</t>
  </si>
  <si>
    <t>Adicion y prorroga no. 1  al contrato de arrendamiento no.440 de 2018</t>
  </si>
  <si>
    <t>FACTURA 172741256</t>
  </si>
  <si>
    <t>FACTURA 427013</t>
  </si>
  <si>
    <t>FACTURA 9889</t>
  </si>
  <si>
    <t>Factura de servicios publicos de colombia móvil s.a.  esp n°. bs00427013predio ubicado en la kr 8 10 - 65   -  secretaria distrital de gobiernocompra 5 celulares huawei p10 lite lte black - directivos secretaria distrital de gobiernototal a pagar $3.500.000</t>
  </si>
  <si>
    <t>Pago servicio de telefonia  avantel para las dependencias del nivel central de la sdg.servicio facturado noviembre- diciembre por $1.531.154   factura no. fmc 11765servicio facturado enero 2018 por valor de $ 765.572   factura no.  fmc 11770.total a pagar  $ 2.296.717</t>
  </si>
  <si>
    <t>Pago servicio de telefonia celular para los directivos de la secretaria distrital de gobierno.periodo facturado 5 de enero al 4 de febrero de 2018total a pagar  $ 3.499.269numero de factura bi -0172741256</t>
  </si>
  <si>
    <t>Avantel S A S</t>
  </si>
  <si>
    <t>FACTURA 4970154130</t>
  </si>
  <si>
    <t>Factura de servicios publicos de codensa s.a. esp n°. 497015413-0predio ubicado en la kr 22 n°66a  14 - predio entregado por el dadep  a la  secretaria distrital de gobiernoperiodo facturado del 22 de diciembre de 2017 al 24 de enero de 2018total a pagar $115.040</t>
  </si>
  <si>
    <t>FACTURA 2464495551</t>
  </si>
  <si>
    <t>Factura de la empresa de acueducto agua alcantarillado y aseo de bogota,  n°. 24644955510servicio de agua y alcantarillado de la inspecciones de policia de usaquen.periodo facturado del 16 de noviembre  de 2017 al 16 de enero de 2018. total a pagar $302.350</t>
  </si>
  <si>
    <t>FACTURA 248313068</t>
  </si>
  <si>
    <t>Factura de servicios publicos de etb s.a.  esp   n°. 248313068predio ubicado en la cl 11 8 17   -  secretaria distrital de gobierno periodo facturado  del 01 al 31 de  enero de 2018 total a pagar $2.332.700</t>
  </si>
  <si>
    <t>RA 16</t>
  </si>
  <si>
    <t>Nomina adicional de febrero de 2018 (Vacaciones Alcalde Local de Antonio Nariño)</t>
  </si>
  <si>
    <t>RESOLUCION 100</t>
  </si>
  <si>
    <t>FACTURA 4991174136</t>
  </si>
  <si>
    <t>COMPROBANTE 1626966529</t>
  </si>
  <si>
    <t>Comprobante de servicios publicos de codensa s.a. esp n°. 162696652-9predio ubicado en la kr 8 10-65  - alcaldia mayor de bogotáperiodo facturado del 10 de enero   al 08 de febrero de 2018total a pagar $25.888.084</t>
  </si>
  <si>
    <t>Factura de servicios publicos de codensa s.a. esp n°. 499117413-6predio ubicado en la cl 12 8-53  - secretaria distrital de gobiernoperiodo facturado del 10 de enero   al 08 de febrero de 2018total a pagar $2.652.570</t>
  </si>
  <si>
    <t>O.C. 667</t>
  </si>
  <si>
    <t>Entregar a título de compraventa las órdenes de dotación de vestido de labor del personal administrativo con derecho y uniformes para los conductores de la entidad, a través del acuerdo marco de precios no cce-456-1-amp-2016 del 5 de diciembre de 2016.84 unidades de ropa de caballero - kit clasico 1 clima frio</t>
  </si>
  <si>
    <t>Union Temporal Charleston  Papi</t>
  </si>
  <si>
    <t>Pago de participacion en los gastos recurrentes comunes en las casas de justicia del distrito capital por la presencia de la inspecciones de policia segun convenio 664 de 2017</t>
  </si>
  <si>
    <t>Prestar los servicios técnicos y especializados de administración, operación, soporte y mantenimientos preventivos y correctivos de la infraestructura tecnológica para la operación de los servicios informáticos y de TI que requerida la Secretaría Distrital de Gobierno</t>
  </si>
  <si>
    <t>Prestar el servicio de mantenimiento preventivo y correctivo, suministro de insumos y repuestos nuevos y originales, para el parque automotor del nivel central de la secretaría distrital de gobierno y de los que sea responsable por la prestación del servicio</t>
  </si>
  <si>
    <t>FACTURA 5003719626</t>
  </si>
  <si>
    <t>Factura de servicios publicos de codensa s.a. esp n°. 500371962-6predio ubicado en la kr 22 66 a - 14   -  predio entregado por el dadep a la secretaria distrital de gobiernoperiodo facturado del 24 de enero al 22 de febrero de 2018total a pagar $71.160</t>
  </si>
  <si>
    <t>FACTURA 2870316401</t>
  </si>
  <si>
    <t>FACTURA 3481351571</t>
  </si>
  <si>
    <t>Seis (6) facturas de la empresa de acueducto agua alcantarillado y aseo de bogota, inicia n°. 28703164013 servicio de agua y alcantarillado de consejo de justicia e inspecciones de policia de teusaquillo, fontibon, antonio nariño, barrios unidos, chapinero y edificio futarena periodo facturado del 16 de noviembre de 2017 al 16 de enero de 2018. total a pagar $3.826.840</t>
  </si>
  <si>
    <t>Once (11) facturas de la empresa de acueducto agua alcantarillado y aseo de bogota, inicia n°. 34813515714 servicio de agua y alcantarillado del  consejo de justicia chapinero. periodo facturado del 16 de noviembre de 2017 al 16 de enero de 2018. total a pagar $1.446.982.</t>
  </si>
  <si>
    <t>FACTURA 3208672301</t>
  </si>
  <si>
    <t>FACTURA 3412145211</t>
  </si>
  <si>
    <t>Siete (7) facturas de la empresa de acueducto, alcantarillado y aseo de bogota e.s.p. inicia con n°. 32086723015. correspondiente al consejo de justicia de teusaquillo, inspecciones de policia de usaquen, antonio nariño, fontibon, chapinero y barrios unidos;  edificio furatenaperiodo facturado del 18 de octubre al 16 de diciembre de 2017. total a pagar $1.774.970</t>
  </si>
  <si>
    <t>Factura de la empresa de acueducto, alcantarillado y aseo de bogota e.s.p. n° 34121452113correspondiente al predio ubicado en la ak 14 53 80 pi 2 periodo facturado del 18 de octubre al 16 de diciembre de 2017. total a pagar $1.020.129</t>
  </si>
  <si>
    <t>FACTURA 248636967</t>
  </si>
  <si>
    <t>Factura de servicios publicos de etb s.a.  esp   n°. 248636967predio ubicado en la cl 11 8 17   -  secretaria distrital de gobierno periodo facturado  del 01 al 31 de  enero de 2018. total a pagar $12.622.990.</t>
  </si>
  <si>
    <t>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</si>
  <si>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RESOL 3939</t>
  </si>
  <si>
    <t>Por la cual se exige cumplimiento de pago  por compensacion de tratatamiento silvicultural  y se toman otras determinaciones.</t>
  </si>
  <si>
    <t>RA 17</t>
  </si>
  <si>
    <t>Pago de la autoliquidación de la nómina general de febrero de 2018- planta de funcionamiento.</t>
  </si>
  <si>
    <t>RA 19</t>
  </si>
  <si>
    <t>Pago de aportes parafiscales de retirados a quienes se les canceló en la nómina de enero 2018</t>
  </si>
  <si>
    <t>Caja menor 2018 dependencias del nivel central de la secretaría de gobierno</t>
  </si>
  <si>
    <t>FACTURA 57833938</t>
  </si>
  <si>
    <t>FACTURA 174923100</t>
  </si>
  <si>
    <t>Factura del servicio de direct tv con factura n°. 57833938periodo facturado anticipado del 12 de marzo al 11 de abril de 2018total a pagar $112.600</t>
  </si>
  <si>
    <t>Factura de servicios publicos de colombia móvil s.a.  esp n°. bi-0174923100predio ubicado en la cl 11 8 17   -  secretaria distrital de gobiernoperiodo facturado del 05 de febrero al 04 de marzo de 2018total a pagar $3.604.318</t>
  </si>
  <si>
    <t>Prestar el servicio de vigilancia y seguridad privada en las modalidades de vigilancia fija y móvil con y sin armas y medios tecnológicos en las diferentes dependencias de la secretaría distrital de gobierno de bogotá, d.c., con el fin de asegurar la protección y custodia de bienes muebles e inmuebles de propiedad de la entidad, y de los que legalmente sea o llegare a ser responsable y de sus funcionarios, contratistas y/o visitantes</t>
  </si>
  <si>
    <t>FACTURA 5006966230</t>
  </si>
  <si>
    <t>Factura de servicios publicos de codensa s.a. esp n°. 500696623-0predio ubicado en la cl 46 14 22/28   -  consejo de justicia de teusaquilloperiodo facturado del 29 de enero al 26 de febrero de 2018total a pagar $1.892.850</t>
  </si>
  <si>
    <t>Prestar los servicios para la ejecución de las actividades incluidas en el plan de bienestar para los servidores de la secretaria distrital de gobierno y sus familias</t>
  </si>
  <si>
    <t>C. CV. 670</t>
  </si>
  <si>
    <t>Black Hat Archetype S A S</t>
  </si>
  <si>
    <t>C. O  668</t>
  </si>
  <si>
    <t>Import System Sistemas Y Suministros S.A.S.</t>
  </si>
  <si>
    <t>RA 20</t>
  </si>
  <si>
    <t xml:space="preserve">Nómina general de marzo 2018 </t>
  </si>
  <si>
    <t>RA 23</t>
  </si>
  <si>
    <t>Pago de cesantías a funcionarios retirados de la entidad y a quienes se les está pagando en la nómina general de marzo 2018 (planta de funcionamiento).</t>
  </si>
  <si>
    <t>A.O. 669</t>
  </si>
  <si>
    <t>Suppler S.A.S</t>
  </si>
  <si>
    <t>Contratar el suministro de combustible para el parque automotor del nivel central de la secretaría distrital de gobierno a través del acuerdo marco de precios  no. cce-290-1 amp-2015</t>
  </si>
  <si>
    <t>Contratar el suministro de elementos de ferretería y de construcción, materiales eléctricos, herramientas y alquiler de equipos que se utilizarán para realizar las adecuaciones, reparaciones y mantenimientos preventivos y correctivos que se requieran en las instalaciones de las dependencias del nivel central de la secretaría distrital de gobierno y en los inmuebles por los que sea o llegare a ser legalmente responsable</t>
  </si>
  <si>
    <t>FACTURA 1628666197</t>
  </si>
  <si>
    <t>Comprobante de servicios publicos de codensa s.a. esp n°. 162866619-7predio ubicado en la kr 8 10-65  - alcaldia mayor de bogotátotal a pagar $23.598.612</t>
  </si>
  <si>
    <t>FACTURA 5020501653</t>
  </si>
  <si>
    <t>FACTURA 5028637161</t>
  </si>
  <si>
    <t>Factura de servicios publicos de codensa s.a. esp n°. 502050165-3predio ubicado en la kr 75 23 f - 07   -  inspección de la localidad de fontibónperiodo facturado del 06 de febrero al 06 de marzo de 2018total a pagar $233.420.</t>
  </si>
  <si>
    <t>Factura de servicios publicos de codensa s.a. esp n°. 502863716-1predio ubicado en la cl 12 8 53   -  secretaria distrital de gobiernoperiodo facturado del 08 de febrero al 08 de marzo de 2018total a pagar $1.399.590</t>
  </si>
  <si>
    <t>Pago de nómina adicional de marzo por las vacaciones de johanna paola bocanegra olaya, alcaldesa local de fontibón</t>
  </si>
  <si>
    <t>FACTURA 250019239</t>
  </si>
  <si>
    <t>Dos (2) factura de servicios publicos de etb s.a.  esp inicia  n°. 250019239predio ubicado en la cl 11 8 17   -  secretaria distrital de gobierno - inspeccionesperiodo facturado  del 01 al 28 de  febrero de 2018 total a pagar $16.062.930</t>
  </si>
  <si>
    <t>O.C 672</t>
  </si>
  <si>
    <t xml:space="preserve">Contratar la prestación del servicio integral de aseo y cafetería para las dependencias y proyectos del nivel central de la Secretaria Distrital de Gobierno, el cual incluye el suministro de personal, maquinaria y los insumos </t>
  </si>
  <si>
    <t>Union Temporal Eminser Soloaseo 2016</t>
  </si>
  <si>
    <t>O.C. 671</t>
  </si>
  <si>
    <t xml:space="preserve">Organización Terpel S.A. </t>
  </si>
  <si>
    <t>C.P.S. 392</t>
  </si>
  <si>
    <t xml:space="preserve">Adicion y prorroga contrato de prestacion de servicios no. 573 de 2017 </t>
  </si>
  <si>
    <t>Seguridad Nueva Era LTDA</t>
  </si>
  <si>
    <t>Suministro e instalación  de persianas  enrollables para las dependencias del nivel central de la secretaría distrital de gobierno</t>
  </si>
  <si>
    <t>Decreto 2019</t>
  </si>
  <si>
    <t>Por medio de la cual se concede una comision de servicios al exterior al secretario distrital de gobierno y se hace un encargo.articulo 1. conceder comision de servicios al exterior, al doctor miguel uribe turbay, identificado con la cedula de ciudadania n° 81.717.607, secretario de despacho codigo 020 grado 09 de la secretaria distrital de gobierno, para asistir a los eventos programados en la ciudad de londres - inglaterra, a partir de las 6:00 p.m. del dia 5 y hasta el dia 12 de abril de 2018.articulo 2. la secretaria distrital de gobierno, reconocerá al doctor miguel uribe turbay, tiquetes aereos en la ruta bogota - londres - bogota y viaticos en razon del cien por ciento (100%) del 5 al 11 de abril y del ciencuenta por ciento (50%) por el dia 12 de abril de 2018, de la tarifa maxima establecida en el decreto 333 de 2018, con cargo al rubro 3-1-2-02-02-00-0000-00, por concepto de "viaticos y gastos de viaje", segun certificado de disponibilidad presupuestal n° 761 del 5 de abril de 2018.</t>
  </si>
  <si>
    <t>Miguel  Uribe Turbay</t>
  </si>
  <si>
    <t>FACTURA 5044492743</t>
  </si>
  <si>
    <t>Factura de servicios publicos de etb s.a. esp n°. 504449274-3predio ubicado en la kr 22 n°66a  14 - predio entregado por el dadep  a la  secretaria distrital de gobiernoperiodo facturado del 22 de febrero al 23 de marzo de 2018total a pagar $98.910</t>
  </si>
  <si>
    <t>FACTURA 5047947223</t>
  </si>
  <si>
    <t>Factura por el servicio de energia (codensa) perteneciente al puesto de consejo de justicia de teusaquillo, calle 46 14-22/28 periodo comprendido entre el 26 de febrero al 27 de marzo de 2018, por un valor total a cancelar de $742.720</t>
  </si>
  <si>
    <t>RESOL 140</t>
  </si>
  <si>
    <t>Por la cual se ordena dar cumplimiento a una providencia de la jurisdicción de lo contencioso administrativoarticulo 1: ordénese a la dirección financiera de la secretaria distrital de gobierno dar cumplimiento a la sentencia proferida el 16 de febrero de 2017 por el tribunal administrativo de cundinamarca, sección segunda, dentro del proceso con radicación número: 11001-33-31-042-2013-00002-01 de luis alfonso galvis garcia contra alcaldia mayor de bogota - secretaria de gobierno.</t>
  </si>
  <si>
    <t>Luis Alfonso Galvis Garcia</t>
  </si>
  <si>
    <t>RA 25</t>
  </si>
  <si>
    <t>RA 26</t>
  </si>
  <si>
    <t>Pago de la seguridad social de la nómina general del mes de marzo de 2018</t>
  </si>
  <si>
    <t>RESOLUCION 171</t>
  </si>
  <si>
    <t>Reconocimiento y pago del servicio extra prestado por los delegados de la secretaría distrital de gobierno de bogotá d.c en la supervisión de los concursos y los sorteos realizados por las loterías, los consorcios comerciales y los juegos promocionales en el mes de enero de 2018 y del tiempo excedido durante el servicio</t>
  </si>
  <si>
    <t>FACTURA 21176</t>
  </si>
  <si>
    <t>FACTURA 58407023</t>
  </si>
  <si>
    <t>Pago servicio de telefonia  avantel para las dependencias del nivel central de la sdg.servicio facturado mes febrero de 2018 por $765.572   factura no. fmc 21176servicio facturado mes marzo de 2018 por valor de $ 765.572   factura no.  fmc 21174.total a pagar  $ 1.531.144</t>
  </si>
  <si>
    <t>Factura del servicio de direct tv con factura n°. 58407023periodo facturado anticipado del 12 de abril al 11 de mayo de 2018total a pagar $112.600</t>
  </si>
  <si>
    <t>FACTURA 39939010</t>
  </si>
  <si>
    <t>FACTURA 5066649534</t>
  </si>
  <si>
    <t>Comprobante de servicios publicos de codensa s.a. esp n°. 3993901-0predio ubicado en la kr 8 10-65  - alcaldia mayor de bogotáperiodo facturado del 08 de marzo  al 10 de abril de 2018total a pagar $26.675.628</t>
  </si>
  <si>
    <t>Factura de servicios publicos de codensa s.a. esp n°. 506664953-4predio ubicado en la cl 12 8-53  - secretaria distrital de gobiernoperiodo facturado del 08 de marzo al 10 de abril de 2018total a pagar $2.873.290</t>
  </si>
  <si>
    <t>FACTURA 2736518781</t>
  </si>
  <si>
    <t>Factura de la empresa de acueducto agua alcantarillado y aseo de bogota,  n°. 27365187817servicio de agua y alcantarillado del edificio furatena - cl 12c 8 53periodo facturado del 16 de enero al 15 de marzo de 2018. total a pagar $303.770</t>
  </si>
  <si>
    <t>FACTURA 2670014271</t>
  </si>
  <si>
    <t>Factura de la empresa de acueducto, alcantarillado y aseo de bogota e.s.p. n° 26700142719correspondiente al predio ubicado en la calle 12c 8 53  - edificio furatenaperiodo facturado del 17 de diciembre de 2017 al 14 de febrero de 2018. total a pagar $92.773.</t>
  </si>
  <si>
    <t>RA 29</t>
  </si>
  <si>
    <t>Pago de la nómina general de abril 2018 (planta de funcionamiento)</t>
  </si>
  <si>
    <t>RA 30</t>
  </si>
  <si>
    <t>Pago de cesantías a unos funcionarios retirados y a quienes se les está pagando en la nomina de abril 2018 (planta de funcionamiento).</t>
  </si>
  <si>
    <t>Adquisición de las pólizas de seguros que amparen los bienes muebles, inmuebles e intereses patrimoniales de propiedad de la secretaría distrital de gobierno y de aquellos por los que sea o llegare a ser legalmente responsable</t>
  </si>
  <si>
    <t>FACTURA 2670099711</t>
  </si>
  <si>
    <t>Factura de la empresa de acueducto agua alcantarillado y aseo de bogota,  n°. 26700997112servicio de agua y alcantarillado de la secretaria distrital de gobierno - edificio bicentenarioperiodo facturado del 16 de enero  al 15 de marzo de 2018. total a pagar $9.077.120</t>
  </si>
  <si>
    <t>FACTURA 3141111451</t>
  </si>
  <si>
    <t>Factura de la empresa de acueducto, alcantarillado y aseo de bogota e.s.p. n° 31411114510correspondiente al predio ubicado en la kr 8 10 65 secretaria distrital de gobierno - edificio bicentenario periodo facturado del 17 de diciembre de 2017  al 14 de febrero de 2018. total a pagar $7.261.093</t>
  </si>
  <si>
    <t>FACTURA 251262440</t>
  </si>
  <si>
    <t>Dos (2) factura de servicios publicos de etb s.a.  esp inicia  n°. 251262440predio ubicado en la cl 11 8 17   -  secretaria distrital de gobierno - inspeccionesperiodo facturado  del 01 al 31 de  marzo de 2018 total a pagar $14.999.860</t>
  </si>
  <si>
    <t>FACTURAS 177083182</t>
  </si>
  <si>
    <t>Factura de servicios publicos de colombia móvil s.a.  esp n°. bi-0177083182predio ubicado en la cl 11 8 17   -  secretaria distrital de gobiernoperiodo facturado del 05 de marzo al 04 de abril de 2018.total a pagar $3.604.318</t>
  </si>
  <si>
    <t>C.P.S 505</t>
  </si>
  <si>
    <t>Adicion y proroga  no. 1 al contrato de prestacion de servicios no. 505 de 2017</t>
  </si>
  <si>
    <t>Mitsubishi Electric De Colombia Limitada</t>
  </si>
  <si>
    <t>FACTURA 2940104621</t>
  </si>
  <si>
    <t>Factura de la empresa de acueducto agua alcantarillado y aseo de bogota,  n°. 29401046213servicio de agua y alcantarillado del consejo de justicia teusaquillo.periodo facturado del 17 de enero al 15 de marzo de 2018. total a pagar $173.800.</t>
  </si>
  <si>
    <t>RESOL 136</t>
  </si>
  <si>
    <t>Por la cual se modifica la resolución n° 646 de 2016articulo 1: modificar el articulo 3 de la resolución n° 646 del 6 de diciembre de 2016, el cual quedará así:"articulo 3: pagar la suma de setecientos cuarenta y seis mil quinientos dos pesos (746.502) m/cte., por concepto de descuentos legales y aportes patronales, cesantías e intereses de cesantías conforme a la liquidación efectuada por la dirección de gestión del talento humano, que obra en la tabla insertada en la parte motiva de la presente resolución."artículo 2: los demas apartes de la resolución n° 646 del 6 de diciembre de 2016, continúan vigentes.</t>
  </si>
  <si>
    <t>Juan Eugenio Bejarano Torres</t>
  </si>
  <si>
    <t>FACTURA 26700141414</t>
  </si>
  <si>
    <t>Factura de la empresa de acueducto, alcantarillado y aseo de bogota e.s.p. n° 26700141414 correspondiente al predio ubicado en la cl 46 14 28 - consejo de justicia teusaquillo periodo facturado del 17 de diciembre de 2017 al 14 de febrero de 2018. total a pagar $76.235</t>
  </si>
  <si>
    <t>C.P.S 485-17</t>
  </si>
  <si>
    <t>Realizar la adición no. 1 al contrato  de prestacion de servicios no. 485 de 2017 suscrito por la secretaría distrital de gobierno y oracle colombia ltda.</t>
  </si>
  <si>
    <t>C.P.S 675</t>
  </si>
  <si>
    <t>Seguridad Penta Ltda</t>
  </si>
  <si>
    <t>C.S 377-16</t>
  </si>
  <si>
    <t>Adicion no. 3  y prorroga no. 2  al contrato  de seguros no. 377 de 2016 suscrito con unión temporal axa colpatria seguros s.a - mapfre seguros generales de colombia</t>
  </si>
  <si>
    <t>Axa Colpatria Seguros S A</t>
  </si>
  <si>
    <t xml:space="preserve">C.P.S 674 </t>
  </si>
  <si>
    <t>Precar Limitada</t>
  </si>
  <si>
    <t>C.P.S 674</t>
  </si>
  <si>
    <t>FACTURA 58970264</t>
  </si>
  <si>
    <t>Factura del servicio de direct tv con factura n°. 58970264periodo facturado anticipado del 12 de mayo al 11 de junio de 2018total a pagar $112.600</t>
  </si>
  <si>
    <t>C.S. 677</t>
  </si>
  <si>
    <t>Electricos Y Ferreteria Delta S.A.S</t>
  </si>
  <si>
    <t>FACTURA 38610</t>
  </si>
  <si>
    <t>FACTURA 766550</t>
  </si>
  <si>
    <t>Factura de servicios publicos de codensa s.a. esp n°. 5070673497predio ubicado en la cl 119 6 56   -   colegio distrital general santanderperiodo facturado del 15 de marzo al 17 de abril  de 2018total a pagar $38.610</t>
  </si>
  <si>
    <t>Factura de servicios publicos de codensa s.a. esp n°. 508123096-4predio ubicado en la cl 46 14 22/28 - consejo de justicia de teusaquilloperiodo facturado del 27 de marzo al 26 de abril de 2018total a pagar $766.550</t>
  </si>
  <si>
    <t>Adquirir elementos e insumos de protección personal para servidores públicos y la brigada de emergencias de lasecretaría distrital de gobierno</t>
  </si>
  <si>
    <t>RESOLUCION 205</t>
  </si>
  <si>
    <t>Reconocimiento y pago del servicio extra prestado por los delegados de la secretaría distrital de gobierno de bogotá d.c en la supervisión de los concursos y los sorteos realizados por las loterías, los consorcios comerciales y los juegos promocionales en el mes de febrero de 2018 y del tiempo excedido durante el servicio</t>
  </si>
  <si>
    <t>RA 32</t>
  </si>
  <si>
    <t>Pago de la autoliquidación de la nómina general de abril de 2018 (funcionamiento)</t>
  </si>
  <si>
    <t>C. 679</t>
  </si>
  <si>
    <t>Union Temporal Sdg Oplk - Maicrotel 2018</t>
  </si>
  <si>
    <t>Adquisición, instalación, configuración, puesta en funcionamiento, mantenimiento preventivo y correctivo de ups ubicadas las sedes de nivel central de la secretaría distrital de gobierno</t>
  </si>
  <si>
    <t>C.P.S 678</t>
  </si>
  <si>
    <t>Evalua Salud Ips S A S</t>
  </si>
  <si>
    <t>C.S. 680</t>
  </si>
  <si>
    <t>Soluciones Integrales De Oficina S A S</t>
  </si>
  <si>
    <t>COMPROBANTE 1631548671</t>
  </si>
  <si>
    <t>RA 34</t>
  </si>
  <si>
    <t xml:space="preserve">Nómina general de mayo 2018 (Funcionamiento) </t>
  </si>
  <si>
    <t>RA 36</t>
  </si>
  <si>
    <t>Pago de cesantías a unos funcionarios retirados  (planta de funcionamiento).</t>
  </si>
  <si>
    <t>RESOL 146</t>
  </si>
  <si>
    <t>Primer reembolso caja menor dirección administrativa</t>
  </si>
  <si>
    <t>Secretaria Distrital De Gobierno</t>
  </si>
  <si>
    <t>FACTURA 252249185</t>
  </si>
  <si>
    <t>Dos (2) factura de servicios publicos de etb s.a.  esp inicia  n°. 252249185predio ubicado en la cl 11 8 17   -  secretaria distrital de gobierno - inspeccionesperiodo facturado  del 01 al 30 de abril de 2018 total a pagar $15.829.280</t>
  </si>
  <si>
    <t>RESOLUCIÓN 218</t>
  </si>
  <si>
    <t>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</si>
  <si>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FACTURA 5111333038</t>
  </si>
  <si>
    <t>Factura de servicios publicos de codensa s.a. esp n°. 511133303-8predio ubicado en la kr 22 n°66a  14 - predio entregado por el dadep  a la  secretaria distrital de gobiernoperiodo facturado del 24 de abril al 24 de mayo de 2018total a pagar $52.530</t>
  </si>
  <si>
    <t>FACTURA 5114555960</t>
  </si>
  <si>
    <t>Factura de servicios publicos de codensa s.a. esp n°. 511455596-0predio ubicado en la cl 46 14 22/28   -  consejo de justicia de teusaquilloperiodo facturado del 26 de abril  al 28 de mayo de 2018total a pagar $806.310</t>
  </si>
  <si>
    <t>C.P.S 685</t>
  </si>
  <si>
    <t>Caja De Compensacion Familiar - Compensar</t>
  </si>
  <si>
    <t>Reconocer el pago de incentivos por concepto de la estrategia "auxilio para programas de educación continuada"; deconformidad con la resolución 027 del 18 de enero de 2018, por medio de la cual se adopta el plan de estímulos eincentivos para la vigencia 2018.</t>
  </si>
  <si>
    <t>Reconocer el pago de incentivos por concepto de la estrategia "mejores equipos de trabajo"; de conformidad con la resolución 027 del 18 de enero de 2018, por medio de la cual se adopta el plan de estímulos e incentivos para la vigencia 2018</t>
  </si>
  <si>
    <t>Reconocer el pago de incentivos por concepto de la estrategia "mejores servidores públicos de la entidad"; de conformidad con la resolución 027 del 18 de enero de 2018, por medio de la cual se adopta el plan de estímulos e incentivos para la vigencia 2018.</t>
  </si>
  <si>
    <t>RESOLUCIÓN 227</t>
  </si>
  <si>
    <t>RESOLUCIÓN 238</t>
  </si>
  <si>
    <t>Modificación de los artículos 2° y 3° de la resolución no. 0218 del 23 de mayo de 2018, por la cual se hace reconocimiento y pago del servicio extra prestado por los delegados de la secretaría distrital de gobierno de bogotá d.c en la supervisión de los concursos y los sorteos realizados por las loterías, los consorcios comerciales y los juegos promocionales en el mes de marzo de 2018 y del tiempo excedido durante el servicio</t>
  </si>
  <si>
    <t>Reconocimiento y pago del servicio extra prestado por los delegados de la secretaria distrital de gobierno de bogota d.c. , en la supervision de los concursos y los sorteos realizados por las loterias, los consorcios comerciales y los juegos promocionales, en el mes de abril de 2018 y del tiempo excedido durante el servicio</t>
  </si>
  <si>
    <t>RA 38</t>
  </si>
  <si>
    <t>Pago de la autoliquidación general de la nómina de mayo (planta de funcionamiento)</t>
  </si>
  <si>
    <t>Contratar el servicio de mantenimiento, recarga y suministro de repuestos nuevos para los extintores portátiles propiedad de la secretaría distrital de gobierno</t>
  </si>
  <si>
    <t>RES 215</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</si>
  <si>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montaña hernandez mery constanza|616700|0|0|616700|616700|0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</si>
  <si>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alonso nemocon oscar geovanny.|1132635|0|0|1132635|1132635|0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</si>
  <si>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torres camacho jim joiver|2343726|0|0|2343726|2343726|0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</si>
  <si>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vasquez gómez yuri paola|2343726|0|0|2343726|2343726|0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</si>
  <si>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peñuela moreno martha|742350|0|0|742350|742350|0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</si>
  <si>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ortiz grandas jhon jairo|2343726|0|0|2343726|2343726|0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</si>
  <si>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ricaurte pardo martin fernando|2343726|0|0|2343726|2343726|0</t>
  </si>
  <si>
    <t>Por la cual se otorga un incentivo de auxilio para educación formal de conformidad con lo previsto en la resolución 027 del 18 de enero de 2018.artículo 1. reconocer y otorgar como  incentivo no pecuario, una contribución económica para financiar la educación formal a los servidores públicos, conforme se especifica a continuación: medina rios gloria esperanza|1091160|0|0|1091160|1091160|0</t>
  </si>
  <si>
    <t>Corporacion Universitaria Republicana</t>
  </si>
  <si>
    <t>Corporacion Universitaria De Santander</t>
  </si>
  <si>
    <t>Institucion Universitaria De Colombia</t>
  </si>
  <si>
    <t>Adicion y prorroga al contrato de prestacion de servicios 692 de 2017 suscrito con pubblica s.a.s</t>
  </si>
  <si>
    <t>RA 40</t>
  </si>
  <si>
    <t>Pago de la nómina general de junio 2018 (planta de funcionamiento).</t>
  </si>
  <si>
    <t>Adicion al contrato 680 de 2018 suscrito con soluciones integrales de oficina sas</t>
  </si>
  <si>
    <t>C.P.S 573</t>
  </si>
  <si>
    <t>Adicion y prorroga contrato de eprestacion de servicios no. 573 de 2017 suscrito con transportes especiales f.s.g. s.a.s</t>
  </si>
  <si>
    <t>Transportes Especiales F.S.G S.A.S</t>
  </si>
  <si>
    <t>C.P.S 692</t>
  </si>
  <si>
    <t>Pubblica S A S</t>
  </si>
  <si>
    <t>C.S. 686</t>
  </si>
  <si>
    <t>S&amp;S Suministros Empresariales S A S</t>
  </si>
  <si>
    <t>FACTURA 59542295</t>
  </si>
  <si>
    <t>Factura del servicio de direct tv con factura n°. 59542295periodo facturado anticipado del 12 de junio al 11 de julio de 2018total a pagar $112.600</t>
  </si>
  <si>
    <t>FACTURA 5131766400</t>
  </si>
  <si>
    <t>FACTURA 1633178407</t>
  </si>
  <si>
    <t>Factura de servicios publicos de codensa s.a. esp n°. 513176640-0predio ubicado en la cl 12 8-53  - secretaria distrital de gobiernoperiodo facturado del 09 de mayo al 08 de junio de 2018total a pagar $784.370</t>
  </si>
  <si>
    <t>Comprobante de servicios publicos de codensa s.a. esp n°. 1633178407predio ubicado en la kr 8 10-65  - alcaldia mayor de bogotáperiodo facturado del 09 de mayo  al 08 de junio de 2018total a pagar $27.607.524</t>
  </si>
  <si>
    <t>FACTURA 2535451572</t>
  </si>
  <si>
    <t>Dos (2) factura de servicios publicos de etb s.a.  esp inicia  n°. 253545157-2predio ubicado en la cl 11 8 17   -  secretaria distrital de gobierno - inspeccionesperiodo facturado  del 01 al 31 de mayo de 2018 total a pagar $15.420.500</t>
  </si>
  <si>
    <t>Dirección de Gesión del Talento Humano</t>
  </si>
  <si>
    <t>Contratar un proceso de capacitación dirigido a los servidores públicos de la secretaria distrital de gobierno en las siguientes temáticas: ofimatica, gerencia de proyectos, herramientas pedagogicas para formadores, gobernabilidad y gestion publica, conforme a lo establecido en el presente anexo técnico</t>
  </si>
  <si>
    <t>FACTURA 23782</t>
  </si>
  <si>
    <t>Pago servicio de telefonia  avantel para las dependencias del nivel central de la sdg.periodos facturados:  abril, mayo y junio de 2018facturas nos.  fmc 23782; fmc 23783  y fmc 23784total a pagar  $ 2.296.716</t>
  </si>
  <si>
    <t>Prestación del servicio de mantenimiento preventivo y correctivo (mano de obra) con suministro de insumos, repuestos originales, nuevos y atención de emergencias para el ascensor marca sigma ubicado en el edificio bicentenario primera etapa ubicado en la calle 11 no.8-17 de la secretaría distrital de gobierno</t>
  </si>
  <si>
    <t>Pago servicio publico de acueducto y alcantarillado para el edificio furatena  cl 12 c 8 53periodo facturado 16 de marzo al 15 de mayo de 2018factura de servicios publicos no. 26726900512total a pagar  $ 287.850</t>
  </si>
  <si>
    <t>Pago servicio publico de acueducto y alcantarillado del consejo de justicia de teusaquillo cl 46 14 28periodo facturado 16 de marzo al 16 de mayo de 2018factura de servicios publicos no. 30740682114total a pagar  $ 117.300</t>
  </si>
  <si>
    <t>C.P.S 687</t>
  </si>
  <si>
    <t>Prestación de servicios de salud para la realización de estudios y análisis de puesto de trabajo con énfasis biomecánico y/o psicosocial que incluya informe detallado y metodología, para atender solicitudes de los servidores públicos de la secretaría distrital de gobierno</t>
  </si>
  <si>
    <t>Beneficios Integrales Oportunos S A</t>
  </si>
  <si>
    <t>Contratar el servicio de intervención en Riesgo Psicosocial a los servidores de la Secretaría Distrital de Gobierno, con base en lo establecido en las especificaciones técnicas.</t>
  </si>
  <si>
    <t>C.S 689</t>
  </si>
  <si>
    <t>RESOL 281</t>
  </si>
  <si>
    <t>Pago de reajuste pensional de colpensiones al señor abelardo aldana segura, ex servidor público de la secretaría distrital de gobierno.articulo 1°. ordenese a la direccion financiera de la secretaria distrital de gobierno pagar la suma neta de un millon ochocientos ochenta y siete mil seiscientos diecinueve pesos ($1.887.619) a la administradora colombiana de pensiones -  colpensiones,  identificada con nit 900.336.004-7, de conformidad con el expuesto en la parte motiva.</t>
  </si>
  <si>
    <t>Administradora Colombiana De Pensiones Colpensiones</t>
  </si>
  <si>
    <t>Contratar el suministro y distribución de productos de papelería y útiles de oficina para las diferentes dependencias de la Secretaria Distrital de Gobierno mediante el sistema de proveeduría integral (outsoursing).</t>
  </si>
  <si>
    <t>Prestar el Servicio de Distribución Postal para la Secretaría Distrital de Gobierno A TRAVÉS DEL ACUERDO MARCO - CCE-441-1-AMP-2016</t>
  </si>
  <si>
    <t>FACTUA 495148272</t>
  </si>
  <si>
    <t>FACTURA 5147895572</t>
  </si>
  <si>
    <t>FACTURA 5144639712</t>
  </si>
  <si>
    <t>FACTURA 5137295864</t>
  </si>
  <si>
    <t>Pago servicio publico de energia dela corregiduria de pasquillaperiodo facturado 4 de agosto 2017 a 5 de enero de 2018factura de servicios publicos no. 495148272 3total a pagar  $ 1.523.090</t>
  </si>
  <si>
    <t>Factura de servicios publicos de codensa s.a. esp n°. 514789557-2predio ubicado en la cl 46 14 22/28   -  consejo de justicia de teusaquilloperiodo facturado del 28 de mayo  al 27 de junio de 2018total a pagar $753.520</t>
  </si>
  <si>
    <t>Factura de servicios publicos de etb s.a. esp n°. 514463971-2predio ubicado en la kr 22 n°66a  14 - predio entregado por el dadep  a la  secretaria distrital de gobiernoperiodo facturado del 24 de mayo al 25 de junio de 2018total a pagar $53.150</t>
  </si>
  <si>
    <t>Factura de servicios publicos de codensa s.a. esp n°. 513729586-4predio ubicado en la cl 119 6 56   -   colegio distrital general santanderperiodo facturado del 17 de mayo al 18 de junio  de 2018total a pagar $149.400</t>
  </si>
  <si>
    <t>RA 43</t>
  </si>
  <si>
    <t>Pago de la autoliquidación general de la nómina de junio (planta de funcionamiento)</t>
  </si>
  <si>
    <t>Ingeal S A</t>
  </si>
  <si>
    <t>FACTURA 5165353458</t>
  </si>
  <si>
    <t>COMPROBANTE 39939010</t>
  </si>
  <si>
    <t>Factura de servicios publicos de codensa s.a. esp n°. 516535345-8predio ubicado en la cl 12c 8-53  - secretaria distrital de gobiernoperiodo facturado del 08 de junio al 10 de julio de 2018total a pagar $974.970</t>
  </si>
  <si>
    <t>Comprobante de servicios publicos de codensa s.a. esp n°. 163478010-2predio ubicado en la kr 8 10-65  - alcaldia mayor de bogotáperiodo facturado del 08 de junio al 10 de julio de 2018total a pagar $26.652.454</t>
  </si>
  <si>
    <t>RA 45</t>
  </si>
  <si>
    <t>Pago de la nómina general de julio 2018 (planta de funcionamiento).</t>
  </si>
  <si>
    <t>RA 47</t>
  </si>
  <si>
    <t>Pago de cesantías a unos funcionarios en el mes de julio 2018 (planta de funcionamiento)</t>
  </si>
  <si>
    <t>Realizar la adición y prorroga del contrato no. 560 de 2017 (orden de compra no. 18979 - colombia compra eficiente) suscrito por la secretaría distrital de gobierno y prointech colombia sas</t>
  </si>
  <si>
    <t xml:space="preserve"> FACTURA 60125765</t>
  </si>
  <si>
    <t>Factura del servicio de direct tv con factura n°. 60125765periodo facturado anticipado del 12 de julio al 11 de agosto de 2018total a pagar $112.600</t>
  </si>
  <si>
    <t>C.P.S 690</t>
  </si>
  <si>
    <t>C.P.S 694</t>
  </si>
  <si>
    <t>Otis Elevator Company Colombia S.A.S</t>
  </si>
  <si>
    <t>Luis Guiovanny Jimenez Mora</t>
  </si>
  <si>
    <t>FACTURA 254943175</t>
  </si>
  <si>
    <t>FACTURA 254954523</t>
  </si>
  <si>
    <t>Factura de servicios publicos de etb s.a.  esp   n°. 254943175predio ubicado en la cl 11 8 17   -  secretaria distrital de gobierno periodo facturado  del 01 al 30 de  junio de 2018. total a pagar $12.054.930.</t>
  </si>
  <si>
    <t>Factura de servicios publicos de etb s.a.  esp   n°. 254954523predio ubicado en la cl 11 8 17   -  secretaria distrital de gobierno periodo facturado  del 01 al 30 de  junio de 2018 total a pagar $2.787.400</t>
  </si>
  <si>
    <t>RES 277</t>
  </si>
  <si>
    <t>Por la cual se otorga un incentivo de auxilio para educación formal de conformidad con lo previsto en la resolución 027 del 18 de enero de 2018.artículo 1. reconocer y otorgar como incentivo no pecuario, una contribución económica para financiar la educación formal al servidor públicos, conforme se especifica a continuación: gomez salazar enrique adolfo c.c 12.997.799</t>
  </si>
  <si>
    <t>Segundo reembolso caja menor dirección administrativa</t>
  </si>
  <si>
    <t>O.C. 699</t>
  </si>
  <si>
    <t>Adicion y prorroga al contrato de prestacion de servicios no. 573 de 2017 suscrito con transportes especiales f.s.g. s.a.s</t>
  </si>
  <si>
    <t>Prestar el servicio de distribución postal para la secretaría distrital de gobierno a través del acuerdo marco - cce-441-1-amp-2016</t>
  </si>
  <si>
    <t>Urbano Express Logistica Y Mercadeo S.A.S</t>
  </si>
  <si>
    <t>RES 282</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</si>
  <si>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uno.villamizar rey edgar antonio con c.c. 91.211.137.</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</si>
  <si>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uno.boada garcia zoraida con c.c. 60.324.914.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</si>
  <si>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uno.pardo morales maria hortencia con c.c. 41.790.644</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</si>
  <si>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uno.morales gomez jaime jair con c.c. 93.203.883.</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</si>
  <si>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uno.pachon botiva liliana esperanza con c.c. 52.205.368</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</si>
  <si>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uno.cuenca rodriguez gina yicel con c.c. 52.804.730</t>
  </si>
  <si>
    <t>Por la cual se hace un reconocimiento y se otorga un incentivo no pecuniario a los mejores servidores de carrera administrativa que se encuentran en nivel sobresaliente de conformidad con lo previsto en la resolución 027 del 18 de enero de 2018. artículo 1. reconocer y otorgar un incentivo no pecuario a los siguientes servidores públicos por encontrarse en nivel sobresaliente, de acuerdo con la opción elegida por cada uno.beltran alfonso fernando con c.c. 79.303.170</t>
  </si>
  <si>
    <t>Luis Carlos Ruiz</t>
  </si>
  <si>
    <t>Corporacion San Isidro</t>
  </si>
  <si>
    <t>Corporacion Escuela Pedagogica Experimental E.P.E.</t>
  </si>
  <si>
    <t>Comunidad Franciscana Provincia De La Santa Fe</t>
  </si>
  <si>
    <t>RESOLUCIÓN 305</t>
  </si>
  <si>
    <t>Autorizar el reconocimiento y pago  del servicio extra prestado por los delegados de la secretaria distrital de gobierno de bogota d.c. , en la supervision de los concursos y  sorteos realizados  en bogotá d.c., durante el mes de mayo de 2018.</t>
  </si>
  <si>
    <t>O.C. 560</t>
  </si>
  <si>
    <t>Prointech Colombia Sas</t>
  </si>
  <si>
    <t>FACTURA 60701024</t>
  </si>
  <si>
    <t>FACTURA 21884</t>
  </si>
  <si>
    <t>Factura del servicio de direct tv con factura n°. 60701024periodo facturado anticipado del 12 de agosto al 11 de septiembre de 2018total a pagar $112.600</t>
  </si>
  <si>
    <t>Pago servicio de telefonia avantel para las dependencias del nivel central de la secretaria distrital de gobierno correspondiente al mes de julio de 2018. factura no. 21884 por valor de 765.572.</t>
  </si>
  <si>
    <t>Prestar el servicio de correo certificado y operación del centro de documentación e información (cdi) para el nivel central de la secretaría distrital de gobierno que garantice el curso y entrega de correspondencia tanto interna como externa</t>
  </si>
  <si>
    <t>RES 302</t>
  </si>
  <si>
    <t>RES 298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</si>
  <si>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lopez arnulfo c.c. 19.157.505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</si>
  <si>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cantor rojas carlos c.c. 19.259.174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</si>
  <si>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como mejores servidores de la secretaria distrital de gobierno de acuerdoo con la opción elegida por cada uno, tal como de relaciona a continuación: martinez guevara miguel c.c. 79.103.132.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</si>
  <si>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rojas vanegas nidya milena c.c. 21.047.764.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</si>
  <si>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lopez alba patricia c.c. 52.113.363.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</si>
  <si>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vasquez gomez yuri paola c.c. 53.930.334.</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</si>
  <si>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peñuela medellin stella c.c. 51.950.698.</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</si>
  <si>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zapata laguna adda yaneth c.c. 65.769.657.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</si>
  <si>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montaño becerra carmen virginia c.c. 45.488.132..</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</si>
  <si>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hidalgo alba marina c.c. 51.941.883..</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</si>
  <si>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guzman martinez fabricio jose c.c. 79.388.946.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</si>
  <si>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romero sabogal maria janneth c.c. 20.925.965.</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</si>
  <si>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carreño obando yulli andrea c.c. 52.858.717.</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</si>
  <si>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gonzalez tibocha juli alexandra c.c. 52.284.666.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</si>
  <si>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garcia tautiva joaquin c.c. 79.273.356.</t>
  </si>
  <si>
    <t>Por la cual se hace un reconocimiento y se otorga un incentivo no pecuniario a los mejores servidores decarrera administrativa que se encuentran en nivel sobresaliente de conformidad con lo previsto en la resolución 027 del 18 de enero de 2018.artículo 1. reconocer y otorgar un incentivo no pecuario a los siguientes servidores públicos por encontrarse en nivel sobresaliente, de acuerdo con la opción elegida por cada uno, tal como de relaciona a continuación: parra martinez yolanda aurora c.c. 51.745.034</t>
  </si>
  <si>
    <t>Agencia De Viajes Y Turismo Aviatur S.A.</t>
  </si>
  <si>
    <t>Orange Travel S A S</t>
  </si>
  <si>
    <t>Politecnico Internacional</t>
  </si>
  <si>
    <t>Maria Del Rosario Bosa Vasco</t>
  </si>
  <si>
    <t>Fundacion Melanie Klein</t>
  </si>
  <si>
    <t>Congregacion De Hermanas De Caridad Dominicas De La Presentacion De La Santisima Virgen - Provincia De Bogota</t>
  </si>
  <si>
    <t>Provincia De Nuestra Señora Del Rosario De La Congregacion De Dominicas De Santa Catalina De Sena</t>
  </si>
  <si>
    <t>Formando Tours S A S</t>
  </si>
  <si>
    <t>Hermanas Franciscanas Misioneras De Maria Auxiliadora</t>
  </si>
  <si>
    <t>Liceo Romulo Gallegos Ltda</t>
  </si>
  <si>
    <t>Aracely  Cordero Gomez</t>
  </si>
  <si>
    <t>C.P.S 704</t>
  </si>
  <si>
    <t>Asociacion Internacional De Consultoria S A S</t>
  </si>
  <si>
    <t>O.C 708</t>
  </si>
  <si>
    <t>Grupo Los Lagos S.A.S</t>
  </si>
  <si>
    <t>C.P.S 709</t>
  </si>
  <si>
    <t>Prestación del servicio de transporte público terrestre automotor especial para las dependencias del nivel central de la secretaría distrital de gobierno</t>
  </si>
  <si>
    <t>A.O. 610</t>
  </si>
  <si>
    <t>Adicion no. 1 y prorroga no. 2 a la carta de aceptacion de oferta-  contrato 610 de 2017 suscrito con solution copy ltda</t>
  </si>
  <si>
    <t>Solution Copy Ltda</t>
  </si>
  <si>
    <t>FACTURA 5178180497</t>
  </si>
  <si>
    <t>FACTURA 5170743941</t>
  </si>
  <si>
    <t>FACTURA 5181402899</t>
  </si>
  <si>
    <t>Factura de servicios publicos de codensa s.a. esp n°. 517818049-7predio ubicado en la kr 22 66a-14   -  bodega 7 de agostoperiodo facturado del 25 de junio al 25 de julio de 2018total a pagar $66.970</t>
  </si>
  <si>
    <t>Factura de servicios publicos de codensa s.a. esp n°. 517074394-1predio ubicado en la kr 119 6-56   -  colegio general santanderperiodo facturado del 18 de junio al 17 de julio de 2018total a pagar $229.250</t>
  </si>
  <si>
    <t>Factura de servicios publicos de codensa s.a. esp n°. 518140289-9predio ubicado en la cl 46 14-22/28   -  consejo de justicia teusaquilloperiodo facturado del 27 de junio al 27 de julio de 2018total a pagar $765.450</t>
  </si>
  <si>
    <t>FACTURA 3822417051</t>
  </si>
  <si>
    <t>FACTURA 3143591341</t>
  </si>
  <si>
    <t>FACTURA 3666705</t>
  </si>
  <si>
    <t>Factura de la empresa de acueducto, alcantarillado y aseo de bogota e.s.p. n° 38224170514correspondiente al predio ubicado en la cl 119 6 48 - ied colegio general santanderperiodo facturado del 18 de febrero  al 19 de abril de 2018. total a pagar $42.233.</t>
  </si>
  <si>
    <t>Factura de la empresa de acueducto, alcantarillado y aseo de bogota e.s.p. n° 31435913418correspondiente al predio ubicado en la kr 22 66a 14 - bodega 7 de agostoperiodo facturado del 22 de abril  al 20 de junio de 2018. total a pagar $1.245.352</t>
  </si>
  <si>
    <t>Factura de limpieza metropolitana s.a e.s.p  n° 3666705correspondiente al predio ubicado en la cl 46 14 28 - consejo de justicia teusaquilloperiodo facturado del 12 de febrero  al 30 de abril de 2018. total a pagar $67.450</t>
  </si>
  <si>
    <t>Limpieza Metropolitana S A E S P</t>
  </si>
  <si>
    <t>RA 49</t>
  </si>
  <si>
    <t>Pago de la autoliquidación de la nómina  general de julio de 2018 (planta de funcionamiento)</t>
  </si>
  <si>
    <t>RESOL 226</t>
  </si>
  <si>
    <t>Por la cual se reconoce y ordena el pago a los beneficiarios de los salarios y prestaciones sociales de un ex-servidor público fallecido.artículo primero. reconocer y pagar por concepto de salarios y prestaciones sociales del señor zico antonio suarez suarez (qepd), identidicado con cédula de ciudadanía n° 80.033.702, ex-servidor de la secretaria distrital de gobierno.</t>
  </si>
  <si>
    <t>RESOLUCIÓN 640</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</si>
  <si>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junio de 2018 y del tiempo excedido durante el servicio.</t>
  </si>
  <si>
    <t>SERVICIOS PERSONALES INDIRECTOS - HONORARIOS ENTIDAD</t>
  </si>
  <si>
    <t>C.INTERAD 707</t>
  </si>
  <si>
    <t>FACTURA 186031548</t>
  </si>
  <si>
    <t>Factura de servicios publicos de colombia móvil s.a.  esp n°. bi-0186031548predio ubicado en la cl 11 8 17   -  secretaria distrital de gobiernoperiodo facturado del 05 de abril  al 04 de agosto de 2018total a pagar $14.417.272</t>
  </si>
  <si>
    <t>COMPROBANTE 1636402464</t>
  </si>
  <si>
    <t>FACTURA 5198892857</t>
  </si>
  <si>
    <t>Comprobante de servicios publicos de codensa s.a. esp n°. 163640246-4predio ubicado en la kr 8 10-65  - alcaldia mayor de bogotáperiodo facturado del 10 de julio  al 09 de agosto de 2018total a pagar $26.127.689</t>
  </si>
  <si>
    <t>Factura de servicios publicos de codensa s.a. esp n°. 519889285-7predio ubicado en la cl 12 c  - 8  53 - secretaria distrital de gobiernoperiodo facturado del 10 de julio  al 09 de agosto de 2018total a pagar $831.310</t>
  </si>
  <si>
    <t>Pago servicio publico de acueducto y alcantarillado para el edificio bicentenario  cl 11  8 49periodo facturado 16 de mayo al 13 de julio de 2018factura de servicios publicos no. 34150608619total a pagar  $ 14.377.670</t>
  </si>
  <si>
    <t>Pago servicio publico de acueducto y alcantarillado para el edificio furatena  cl 12 c 8 53periodo facturado 16 de mayo al 13 de julio de 2018factura de servicios publicos no. 26074985115total a pagar  $ 313.930.</t>
  </si>
  <si>
    <t xml:space="preserve"> FACTURA 3667658</t>
  </si>
  <si>
    <t>Factura de promoambiental distrito s.a.s  e.s.p  n° 3667658correspondiente al predio ubicado en la cl 12c 8 53 - edificio furatenaperiodo facturado del 12 de febrero  al 30 de abril de 2018. total a pagar $78.090</t>
  </si>
  <si>
    <t>Promoambiental Distrito S A S Esp</t>
  </si>
  <si>
    <t>FACTURA 256131952</t>
  </si>
  <si>
    <t>Dos (2) factura de servicios publicos de etb s.a.  esp inicia  n°. 256131952predio ubicado en la cl 11 8 17   -  secretaria distrital de gobierno - inspeccionesperiodo facturado  del 01 al 31 de julio de 2018 total a pagar $15.486.790</t>
  </si>
  <si>
    <t>C.P.S  711</t>
  </si>
  <si>
    <t>Centro De Recursos Educativos Para La Competitividad Empresarial Ltda</t>
  </si>
  <si>
    <t>RES 317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</si>
  <si>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perez fonseca paula marcela con c.c. 52.479.454.</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</si>
  <si>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rodriguez acosta josue dario con c.c. 80.055.327</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</si>
  <si>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ochoa leon patricia con c.c. 39.703.500</t>
  </si>
  <si>
    <t>Por la cual se hace un reconocimiento y se otorga un incentivo no  pecuario a los mejores servidores de carrera administrativa que se encuentran en nivel sobresaliente de conformidad con lo previsto en la resolución 027 del 18 de enero de 2018articulo 1° reconocer y otorgar un incentivo no pecuario a los siguientes servidores públicos por encontrarse en nivel sobresaliente, de acuerdo con la opción segida por cada uno, tal como se relaciona a continuación: tibaquicha daza consuelo con c.c. 41.763.383</t>
  </si>
  <si>
    <t>Universidad Manuela Beltran</t>
  </si>
  <si>
    <t>ra 51</t>
  </si>
  <si>
    <t>Pago de la nómina general de agosto 2018 (planta de funcionamiento).</t>
  </si>
  <si>
    <t>RA 52</t>
  </si>
  <si>
    <t>Pago de cesantías a unos funcionarios retirados  en la níomina de agosto 2018 - planta de funcionamiento</t>
  </si>
  <si>
    <t>Realizar el mantenimiento preventivo - correctivo y actualización a los sistemas de detección, alarma y extinción deincendios, control de acceso y circuito cerrado de cámaras de televisión de la secretaría distrital de gobierno</t>
  </si>
  <si>
    <t>FACTURA 61284485</t>
  </si>
  <si>
    <t>Factura del servicio de direct tv con factura n°. 61284485periodo facturado anticipado del 12 de septiembre al 11 de octubre de 2018total a pagar $112.600</t>
  </si>
  <si>
    <t>FACTURA  7670257</t>
  </si>
  <si>
    <t>Pago servicio de telefonia  avantel para las dependencias del nivel central de la sdg.periodo facturado:  agosto de 2018factura n°.  fmc 7670257total a pagar  $ 765.572</t>
  </si>
  <si>
    <t>Adición al contrato de obra no. 554 de  2017 por medio del cual se realiza el mantenimiento preventivo, correctivo, obras de mejora y reparaciones locativas que se requieran en las instalaciones de las dependencias del nivel central de la secretaría distrital de gobierno</t>
  </si>
  <si>
    <t>FACTURA 3106516</t>
  </si>
  <si>
    <t>Factura de promoambiental distrito s.a.s  e.s.p  n° 3106516correspondiente al predio ubicado en la cl 119 6 48 - general santander ied colegioperiodo facturado del 20 de abril  al 18 de junio de 2018. total a pagar $191.950.</t>
  </si>
  <si>
    <t>RESOL 691</t>
  </si>
  <si>
    <t>Por la cual se ordena dar cumplimiento a una providencia de la jurisdicción de los contencioso administrativo.artículo primero: ordénese a la dirección financiera de la secretaría distrital de gobierno dar cumplimiento a la sentencia de fecha 18 de mayo de 2017 proferida por el consejo de estado - sala de lo contenciosos administrativo - sección tercera - subsección "c" dentro de la accción de reparación directa n° 2004-01493, conforme a lo expuesto en la parte motiva de la presente resolución.</t>
  </si>
  <si>
    <t>Camilo Antonio Herrera Romero</t>
  </si>
  <si>
    <t>Tercer reembolso caja menor dirección administrativa</t>
  </si>
  <si>
    <t>RESOL 693</t>
  </si>
  <si>
    <t>Por la cual se ordena un pago a la administradora colombiana de pensiones colpensionesartículo 1° ordénese a la dirección financiera de la secretaria distrital de gobierno pagar la suma neta de un millon ochocientos sesenta y seis mil novecientos veintiseis pesos ($1.866.926), a la administradora colombiana pensiones - colpensiones, identificada con nit 900.336.004-7, de conformidad con el expuesto en la parte motiva.</t>
  </si>
  <si>
    <t>Contratar la aplicación y analisis de un instrumento que permita la medicion de clima y cultura organizacional al interior de la secretaría distrital de gobierno</t>
  </si>
  <si>
    <t>Suministrar el arrendamiento de Impresoras en la Secretaria Distrital de Gobierno, a través del ACUERDO MARCO DE PRECIOS No.  CCE-288-1-AMP-2015</t>
  </si>
  <si>
    <t>RESOL 733</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</si>
  <si>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t>
  </si>
  <si>
    <t>Martha Ruby Zarate Vellaneda</t>
  </si>
  <si>
    <t>Yolanda Aurora Parra Martinez</t>
  </si>
  <si>
    <t>FACTURA 188296157</t>
  </si>
  <si>
    <t>Factura de servicios publicos de colombia móvil s.a.  esp n°. bi-0188296157predio ubicado en la cl 11 8 17   -  secretaria distrital de gobiernoperiodo facturado del 05 de agosto  al 04 de septiembre de 2018total a pagar $16.292.837</t>
  </si>
  <si>
    <t>Realizar ante codensa los trámites de legalización del aumento de carga eléctrica de las instalaciones del consejo de justicia ubicado en la calle 46número 14-22 de la localidad de teusaquillo</t>
  </si>
  <si>
    <t>FACTURA 5211675188</t>
  </si>
  <si>
    <t>FACTURA 5214944966</t>
  </si>
  <si>
    <t>Factura de servicios publicos de codensa s.a. esp n°. 521167518-8predio ubicado en la kr 22 66a 14   -  bodega 7 de agostoperiodo facturado del 25 de julio al 24 de agosto de 2018total a pagar $49.460</t>
  </si>
  <si>
    <t>Factura de servicios publicos de codensa s.a. esp n°. 521494496-6predio ubicado en la cl 46 14-22/28   -  consejo de justicia teusaquilloperiodo facturado del 27 de julio al 28 de agosto de 2018total a pagar $652.720.</t>
  </si>
  <si>
    <t>Pago servicio publico de acueducto y alcantarillado del consejo de justicia de teusaquillo cl 46 14 28periodo facturado 17 de mayo al 13 de julio de 2018factura de servicios publicos no. 30757693210total a pagar  $86.340</t>
  </si>
  <si>
    <t>RES 343</t>
  </si>
  <si>
    <t>Por la cual se reconoce y ordena el pago para proceso de capacitación del proyecto pae en el xxxix congreso de derecho procesalartículo primero: ordenar el pago de un millon ochocientos mil pesos m/cte ($1.800.000), a favor del instituto colombiano de derecho procesal, por concepto de costos de inscripción al xxxix congreso colombiano de derecho procesal de los siguientes funcionarios: cc. 51918023 martha ruby zarate avellanedacc. 51745034 yolanda aurora parra martinez</t>
  </si>
  <si>
    <t>Instituto Colombiano De Derecho Procesal</t>
  </si>
  <si>
    <t>Prestar los servicios de organización logística en los eventos institucionales de la secretaría distrital de gobierno</t>
  </si>
  <si>
    <t>Contratar el servicio de control vectorial consistente en dos (2) intervenciones de desinsectación, desinfección y desratización, en las instalaciones asignadas para el funcionamiento de la secretaría distrital de gobierno, incluyendo bodegas de almacenamiento</t>
  </si>
  <si>
    <t>RESOLUCIÓN 736</t>
  </si>
  <si>
    <t>Por la cual se autoriza el reconocimiento y pago del servicio extra prestado por los delegados de la secretaría distrital de gobierno de bogota d.c., en la supervisión de los concursos y los sorteos realizados por las loterías, los consorcios comerciales y los juegos promocionales, en el mes de julio de 2018 y del tiempo excedido durante el servicio.</t>
  </si>
  <si>
    <t>RA 55</t>
  </si>
  <si>
    <t>Pago de la liquidación de la nómina general de agosto de 2018. planta de funcionamiento</t>
  </si>
  <si>
    <t>RA 57</t>
  </si>
  <si>
    <t>Pago de la autoliquidación adicional por el ingreso de unos funcionarios con posterioridad al cierre de la nómina de agosto 2018</t>
  </si>
  <si>
    <t>Cuarto reembolso caja menor dirección administrativa</t>
  </si>
  <si>
    <t>C. INTER 664</t>
  </si>
  <si>
    <t>Pago de participacion en los gastos recurrentes comunes en las casas de justicia del distrito capital por la presencia de la inspecciones de policia segun convenio 664 de 2017, para el periodo comprendido entre el mes de enero y agosto de 2018</t>
  </si>
  <si>
    <t>Secretaria Distrital De Seguridad Convivencia Y Justicia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</si>
  <si>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martha ruby zarate avellaneda</t>
  </si>
  <si>
    <t>Por la cual se concede comisión de servicios al interior del país.articulo 1: conceder comisión de servicios al interior del país, a partir de las 4:00 p.m. del 4 de septiembre y hasta el 7 de septiembre de 2018, a las funcionarias de las dirección juridica de la secretarias distrital de gobierno martha ruby zarate avellaneda, identificada con cédula de ciudadnia n° 51.918.023, profesional especializado código 222 grado 24 y yolanda aurora parra martinez, identificada con cédula de ciudadanía n° 51.745.034, profesional especializado código 222 grado 24 (e), con el fin de que se desplacen a la ciudad de cali para participar en el xxxix congreso colombiano de derecho procesal, de conformidad con lo expuesto en la parte considerativa de la presente resolución. legalización y pago de tiquetes aereos a favor de yolanda aurora parra martinez</t>
  </si>
  <si>
    <t>Adición y prorroga del contrato no. 620 de 2017 suscrito por la secretaría distrital de gobierno y empresa de telecomunicaciones de bogota sa esp</t>
  </si>
  <si>
    <t>Prestación del servicio de mantenimiento preventivo y correctivo (mano de obra) con suministro de insumos, repuestos originales, nuevos y atención de emergencias para el ascensor marca mitsubishi ubicado en el edificio bicentenario segunda etapa ubicado en la calle 11 no.8-17 de la secretaría distrital de gobierno</t>
  </si>
  <si>
    <t>FACTURA 1638179380</t>
  </si>
  <si>
    <t>FACTURA 5230931655</t>
  </si>
  <si>
    <t>Comprobante de servicios publicos de codensa s.a. esp n°. 163817938-0predio ubicado en la kr 8 10-65  - alcaldia mayor de bogotáperiodo facturado del 10 de agosto al 09 de septiembre de 2018total a pagar $27.512.524</t>
  </si>
  <si>
    <t>Factura de servicios publicos de codensa s.a. esp n°. 523093165-5predio ubicado en la cl 12 c  - 8  53 - secretaria distrital de gobiernoperiodo facturado del 09 de agosto  al 07 de septiembre de 2018total a pagar $903.480</t>
  </si>
  <si>
    <t>FACTURA 5424656</t>
  </si>
  <si>
    <t>Factura de promoambiental distrito s.a.s  e.s.p  n° 5424656correspondiente al predio ubicado en la cl 12c 8 53 - edificio furatenaperiodo facturado del 01 de mayo  al 30 de junio de 2018. total a pagar $140.690</t>
  </si>
  <si>
    <t>RA 58</t>
  </si>
  <si>
    <t>Pago de la nómina general de septiembre 2018 (planta de funcionamiento)</t>
  </si>
  <si>
    <t>RA 60</t>
  </si>
  <si>
    <t>Pago de cesantías a retirados en la nómina general de septiembre 2018 (planta de funcionamiento).</t>
  </si>
  <si>
    <t>O.C 726</t>
  </si>
  <si>
    <t>PC COM S A</t>
  </si>
  <si>
    <t>Prestar el servicio de mantenimiento preventivo y correctivo a la plataforma de telecomunicaciones unify de la secretaría distrital de gobierno</t>
  </si>
  <si>
    <t>FACTURA 2573325206</t>
  </si>
  <si>
    <t>Dos (2) factura de servicios publicos de etb s.a.  esp inicia  n°. 257332520-6predio ubicado en la cl 11 8 17   -  secretaria distrital de gobierno - inspeccionesperiodo facturado  del 01 al 31 de  agosto de 2018 total a pagar $15.549.840</t>
  </si>
  <si>
    <t>Adicion y prorroga contrato 692 de 2017 suscrito con pubblica s.a.s</t>
  </si>
  <si>
    <t>RESOL 311</t>
  </si>
  <si>
    <t>Por la cual se da cumplimiento a un acto administrativoartículo 1: dese cumplimiento a la resolución n° 222 del 3 de mayo de 2016 "por la cual se decide una reclamación administrativa de carácter laboral" y a la resolución n°464 del 12 de septiembre de  2016 "por la cual se resuelve un recurso de reposición".</t>
  </si>
  <si>
    <t>Entregar a título de compraventa las órdenes de dotación de calzado para el personal administrativo con derecho ylos conductores de la secretaria distrital de gobierno.</t>
  </si>
  <si>
    <t>Contratar el suministro, instalación, y puesta en funcionamiento, de un sistema control de acceso biométrico en las instalaciones de la secretaría distrital de gobierno de bogotá, d.c.</t>
  </si>
  <si>
    <t>FACTURA 5237947142</t>
  </si>
  <si>
    <t>Factura de servicios publicos de codensa s.a. esp n°. 523794714-2predio ubicado en la kr 119 6-56   -  colegio general santanderperiodo facturado del 16 de agosto al 17 de septiembre de 2018total a pagar $23.500</t>
  </si>
  <si>
    <t>Adicionar el contrato 678 de 2018 suscrito con evalua salud ips sas, cuyo objeto es realizar exámenes médicos de ingreso, periódicos ocupacionales, por cambio de ocupación, post incapacidad, reintegro laboral, egreso, y aquellas valoraciones complementarias, que permitan mantener actualizadas las bases de datos del personal adscrito a la planta de personal, como aquellos contratistas que apliquen y laboren con la secretaría de gobierno.</t>
  </si>
  <si>
    <t>Evalua Salud Ips Sas</t>
  </si>
  <si>
    <t>Realizar la adición y prorroga del contrato no. 481 de 2018 suscrito por la secretaría distrital de gobierno y jeimer guarnizo gómez</t>
  </si>
  <si>
    <t>RA 61</t>
  </si>
  <si>
    <t>Pago de nómina adicional por corrección en la liquidación de incapacidades del funcionario miguel angel quintero.</t>
  </si>
  <si>
    <t>Pago delegados mes de agosto de 2018</t>
  </si>
  <si>
    <t>Adición al contrato n° 667 cuyo objeto es  entregar dotación vestuario a tres servidores públicos; según el decreto reglamentario 1978 de 1989, artículo 3. es preciso señalar que las personas que van a recibir la dotación fueron vinculadas a la entidad en el mes de agosto, razón por la cual no pudo ser contratada de forma inicial la misma.</t>
  </si>
  <si>
    <t>O.C. 769</t>
  </si>
  <si>
    <t>Contratar el suministro de combustible para el parque automotor del nivel central de la secretaría distrital de gobierno a través del acuerdo marco de precios  no.  cce-715-1-amp-2018</t>
  </si>
  <si>
    <t>Organizacion Terpel S A</t>
  </si>
  <si>
    <t>Subdirección de Gestión Institucional</t>
  </si>
  <si>
    <t>Adquisicion de tres básculas con sus respectivos certificados de calibración para el pesaje de residuos sólidos en las sedes del nivel central de la secretaría distrital de gobierno</t>
  </si>
  <si>
    <t>FACTURA 100617578</t>
  </si>
  <si>
    <t>Factura del servicio de direct tv con factura n°. 100617578periodo facturado anticipado del 12 de octubre al 11 de noviembre de 2018total a pagar $112.600</t>
  </si>
  <si>
    <t>Adicion 2 y prororga 3 contrato 610 de 2017</t>
  </si>
  <si>
    <t>C.P.S 733</t>
  </si>
  <si>
    <t>FACTURA 524538429</t>
  </si>
  <si>
    <t>FACTURA 5248644283</t>
  </si>
  <si>
    <t>Factura de servicios publicos de codensa s.a. esp n°. 524538429-0predio ubicado en la kr 22 n°66a  14 - predio entregado por el dadep a la secretaria distrital de gobiernoperiodo facturado del 24 de agosto al 24 de septiembre de 2017total a pagar $112.440</t>
  </si>
  <si>
    <t>Factura de servicios publicos de enel - codensa s.a. esp n°. 524864428-3predio ubicado en la calle 46 no. 14-22/28  -  consejo de justicia periodo facturado del 28 de agosto de 2018 al 26 de septiembre de 2018total a pagar $650.390.</t>
  </si>
  <si>
    <t>FACTURA 5618675</t>
  </si>
  <si>
    <t>Factura de promoambiental distrito s.a.s  e.s.p  n° 5618675correspondiente al predio ubicado en la cl 119 6 48 - general santander ied colegioperiodo facturado del 19 de junio  al 17 de agosto de 2018. total a pagar $92.290.</t>
  </si>
  <si>
    <t>Pago servicio publico de aseo para las dependencias del nivel central sdg</t>
  </si>
  <si>
    <t>RESOLUCIÓN 843</t>
  </si>
  <si>
    <t>RA 62</t>
  </si>
  <si>
    <t>Pago de la liquidación de la nómina general de septiembre de 2018. planta de funcionamiento</t>
  </si>
  <si>
    <t>RA 63</t>
  </si>
  <si>
    <t>Pago de la autoliquidación adicional por el ingreso de unos funcionarios con posterioridad al cierre de la nómina de septiembre 2018</t>
  </si>
  <si>
    <t>RESOL 841</t>
  </si>
  <si>
    <t>RESOL840</t>
  </si>
  <si>
    <t>Por la cual se ordena un pago a la administradora colombiana de pensiones colpensiones. pago de diferencia en la reliquidación de la pensión del señor victor julio santos burgos a favor de colpensiones.artículo 1° ordénese a la dirección financiera de la secretaria distrital de gobierno pagar la suma neta de un millon ochocientos treinta y siete mil dos cientos noventa y cuatro pesos ($1.837.294), a la administradora colombiana pensiones - colpensiones, identificada con nit 900.336.004-7, de conformidad con el expuesto en la parte motiva.</t>
  </si>
  <si>
    <t>Por la cual se ordena un pago a la administradora colombiana de pensiones colpensiones. pago de diferencia en la reliquidación de la pensión de la señora ana dolores correa camacho a favor de colpensiones.artículo 1° ordénese a la dirección financiera de la secretaria distrital de gobierno pagar la suma neta de ochocientos doce mil doscientos trece pesos ($812.213), a la administradora colombiana pensiones - colpensiones, identificada con nit 900.336.004-7, de conformidad con el expuesto en la parte motiva.</t>
  </si>
  <si>
    <t>Ferney Alberto Florez Peña</t>
  </si>
  <si>
    <t>Adquirir licenciamiento, actualizacion, mantenimiento , parametrizacion y soporte de la herramienta de gestion de servicios aranda en la secretaria distrital de gobierno</t>
  </si>
  <si>
    <t>FACTURA 5424742</t>
  </si>
  <si>
    <t>Factura de promoambiental distrito s.a.s  e.s.p  n° 5424742correspondiente al predio ubicado en la kr 8 10 65 pl 1 periodo facturado del 01 de mayo  al 30 de junio de 2018. total a pagar $3.987.100</t>
  </si>
  <si>
    <t>C.V. 801</t>
  </si>
  <si>
    <t>Quinto reembolso caja menor dirección administrativa.</t>
  </si>
  <si>
    <t>Comercializadora Internacional Prestige S.A.S.</t>
  </si>
  <si>
    <t>C.P.S 792</t>
  </si>
  <si>
    <t>Prestar el servicio integral de fotocopiado blanco, negro y servicios afines, a precios fijos unitarios sin fórmula de reajuste, para las dependencias del nivel central de la secretaría distrital de gobierno.</t>
  </si>
  <si>
    <t>Gran Imagen S.A.S.</t>
  </si>
  <si>
    <t>C. INTER 620</t>
  </si>
  <si>
    <t>FACTURA 1000706832</t>
  </si>
  <si>
    <t>Pago servicio de telefonia celular para los directivos - factura tigo no. de cuenta 8891656652 factura no. bi-1000706832 periodo del 4 de septiembre a 5 de octubre de 2018 por valor de $3.604.318</t>
  </si>
  <si>
    <t>A.O. 786</t>
  </si>
  <si>
    <t>Ingenieria Y Tecnologia En Mantenimiento Industrial Ltda</t>
  </si>
  <si>
    <t>FACTURA 1639820931</t>
  </si>
  <si>
    <t>FACTURA 5266266468</t>
  </si>
  <si>
    <t>Pago servicio publico de energia  enel codensa - factura no. 163982093-1 del numero de cuenta 3993901-0 cuenta resumen secretaria de gobierno- eidificio bicentenario - direccion cra 8 no. 10-65, periodo comprendido del 9 de septiembre a 8 de octubre de2018, valor a cancelar $26.522.640.</t>
  </si>
  <si>
    <t>Pago servicio publico de energia- enel codensa de la cuenta resumen secretaria de gobierno del predio ubicado en la calle 12 c no. 8-53 - las cuenta cliente nos. 3993919-3,0761918-7, 0761919-9, 0761920-8, 0761921-0 y cuyos  nos.de las 5 facturas inicia en 526626646-8 del periodo comprendido entre el 7 de septiembre de 2018 al 09 de octubre de 2018, por valor de $930.790</t>
  </si>
  <si>
    <t>Pago servicio publico de acueducto y alcantarillado - edificio furatena de secretaria de gobierno - calle 12 c no. 8-53 factura de servicios no. 34161818215 periodo comprendido de julio 14 de 2018 a septiembre 12 de 2018,  por valor de $273.260</t>
  </si>
  <si>
    <t>Pago servicio publico de telefono - secretaria de gobierno edificio lievano factura no. 256131952 de la cuenta no. 4363123 por valor de $7.924.640 y la factura no. 2561431595 del edificio sdg cuenta anterior 6878583971 - cuenta actual 7101185131 por valor de $2.715.310, del periodo comprendido del 1 al 30 de septiembre de 2018.</t>
  </si>
  <si>
    <t>C.P.S 804</t>
  </si>
  <si>
    <t>Eventos Y Protocolo Empresarial S A S</t>
  </si>
  <si>
    <t>Contratar la adquisición de sillas ergonómicas para las diferentes dependencias de la secretaría distrital de gobierno</t>
  </si>
  <si>
    <t>Adquirir un (1) desfibrilador externo automático (dea) como respuesta ante una emergencia de reanimación cardíaca, para uso en el nivel central de la secretaría distrital de gobierno¿.</t>
  </si>
  <si>
    <t>Adquirir elementos de protección individual y accesorios de confort para los servidores públicos con condición de salud, que requieren de uso en la secretaría distrital gobierno</t>
  </si>
  <si>
    <t>RA 67</t>
  </si>
  <si>
    <t>Pago de cesantías a unos funcionarios retirados en las nóminas de septiembre y octubre 2018.</t>
  </si>
  <si>
    <t>RA 70</t>
  </si>
  <si>
    <t>Pago de la nómina general de octubre 2018 (planta de funcionamiento)</t>
  </si>
  <si>
    <t>Dirección del Talento Humano</t>
  </si>
  <si>
    <t>C.P.S 805</t>
  </si>
  <si>
    <t>Aranda Software Andina S A S</t>
  </si>
  <si>
    <t>FACTRUA 5271692577</t>
  </si>
  <si>
    <t>Factura de servicios publicos de codensa s.a. esp n°. 527169257-7predio ubicado en la cl 119 6 56   -   colegio distrital general santanderperiodo facturado del 17 de septiembre al 17 de octubre  de 2018total a pagar $45.320.</t>
  </si>
  <si>
    <t>C.P.S 810</t>
  </si>
  <si>
    <t>FACTURA 5279114707</t>
  </si>
  <si>
    <t>Pago servicio publico de energia para el predio con nomenclatura kr 22 no. 66 a14.. bodega 7 de agosto.periodo facturado24 de septiembre a 24 de octubre 2018factura de servicios publicos nos. 527911470-7total a pagar  $ 134.050</t>
  </si>
  <si>
    <t>C.P.S 815</t>
  </si>
  <si>
    <t>RESOL 1412</t>
  </si>
  <si>
    <t>Comando General De Las Ffmm</t>
  </si>
  <si>
    <t>Pago de la autoliquidación de la nómina general de octubre de 2018 (planta de funcionamiento).</t>
  </si>
  <si>
    <t>RA 71</t>
  </si>
  <si>
    <t>Pago de autoliquidación adicional por el ingreso de unos servidores públicos con posterioridad al cierre de la nómina de octubre de 2018. (planta de funcionamiento).</t>
  </si>
  <si>
    <t>RA 73</t>
  </si>
  <si>
    <t>NOVIEMBRE</t>
  </si>
  <si>
    <t>Pproyección reserva</t>
  </si>
  <si>
    <t>Sexto reembolso caja menor dirección administrativa</t>
  </si>
  <si>
    <t>FACTURA 101358955</t>
  </si>
  <si>
    <t>FACTURA 10213864</t>
  </si>
  <si>
    <t>Factura del servicio de direct tv con factura n°. 101358955periodo facturado anticipado del 12 de noviembre al 11 de diciembre de 2018total a pagar $118.900</t>
  </si>
  <si>
    <t>Pago servicio de telefonia  avantel para las dependencias del nivel central de la sdg.servicio facturado meses septiembre  y octubre de 2018  factura no. fmc 10213864total a pagar  $1.245.930</t>
  </si>
  <si>
    <t>FACTURA 5282428122</t>
  </si>
  <si>
    <t>FACTURA 5299913850</t>
  </si>
  <si>
    <t>Factura de servicios publicos de enel - codensa s.a. esp n°. 528242812-2predio ubicado en la calle 46 no. 14-22/28  -  consejo de justicia de teusaquilloperiodo facturado del 26 de septiembre de 2018 al 26 de octubre de 2018total a pagar $693.080.</t>
  </si>
  <si>
    <t>Factura de servicios publicos de codensa s.a. esp n°. 529991385-0predio ubicado en la cl 12 8-53  - cuenta resumen secretaria distrital de gobiernoperiodo facturado del 09 de octubre al 08 de noviembre de 2018total a pagar $890.120</t>
  </si>
  <si>
    <t>Realizar la adición al contrato 685 de 2018 celebrado entre la caja de compensación familiar compensar y la secretaria distrtial de gobierno cuyo objeto es ¿prestar los servicios para la ejecución de las actividades incluidas en el plan de bienestar para los servidores de la secretaria distrital de gobierno y sus familias.</t>
  </si>
  <si>
    <t>14-11-20018</t>
  </si>
  <si>
    <t>Pago de participacion en los gastos recurrentes comunes en las casas de justicia del distrito capital por la presencia de la inspecciones de policia segun convenio 664 de 2017,  periodo correspondiente a los meses  de septimbre y octubre de 2018</t>
  </si>
  <si>
    <t>FACTURA 9041191</t>
  </si>
  <si>
    <t>Pago servicio publico de aseo para el predio con nomenclatura calle 46 no. 14-28 consejo de justicia.periodo facturado 1 de julio al 31 de agosto de 2018factura de servicios publicos no. 9041191total a pagar  $ 98.320</t>
  </si>
  <si>
    <t>FACTURA 259723409</t>
  </si>
  <si>
    <t>Pago servicio publico de telefono de la cuenta 4363123 predio cl 11 8 17 edificio lievano.periodo de consumo octubre 1 al 31 de 2018factura numero 000259723409total a pagar  $ 17.449.280</t>
  </si>
  <si>
    <t>FACTURA 259758196</t>
  </si>
  <si>
    <t>Factura de servicios publicos de etb s.a.  esp   n°. 259758196predio ubicado en la cl 11 8 17   -  secretaria distrital de gobierno periodo facturado  del 01 al 31 de  octubre de 2018 total a pagar $2.886.480</t>
  </si>
  <si>
    <t>Pago de la nómina general de noviembre de 2018 (planta de funcionamiento).</t>
  </si>
  <si>
    <t>RA 74</t>
  </si>
  <si>
    <t>RA 75</t>
  </si>
  <si>
    <t>Pago de cesantías a unos funcionarios retirados en la nómina de octubre. (planta de funcionamiento)</t>
  </si>
  <si>
    <t>C. CV 835</t>
  </si>
  <si>
    <t>Robotec Colombia S A S</t>
  </si>
  <si>
    <t>Adicion y prorroga al contrato no. 377 de 2016 suscrito con unión temporal axa colpatria seguros s.a - mapfre seguros generales de colombia</t>
  </si>
  <si>
    <t>COMPROBANTE 1642052498</t>
  </si>
  <si>
    <t>FACTURA 5305573730</t>
  </si>
  <si>
    <t>Pago servicio publico de energia edificio lievano kr 8 10-65periodo facturado 9 de septiembre al 10 de cotubre de 2018no. comprobante 164205249-8 total a pagar  $ 28.987.607</t>
  </si>
  <si>
    <t>Factura de servicios publicos de codensa s.a. esp n°. 530557373-0predio ubicado en la cl 119 6 56   -   colegio distrital general santanderperiodo facturado del 17 de octubre al 16 de noviembre  de 2018total a pagar $53.790</t>
  </si>
  <si>
    <t>COMPROBANTE 2801915121</t>
  </si>
  <si>
    <t>Pago servicio publico de aseo para el predio ak 7 119a-03 cuenta contrato 10487353recibo por acuerdo de pago  no. 02801915121-6 consumos desde junio de 2016 a octubre de 2018valor a pagar $ 2.885.659</t>
  </si>
  <si>
    <t>Empresa De Acueducto Y Alcantarillado De Bogota Esp</t>
  </si>
  <si>
    <t>Dirección Gestión del Talento humano</t>
  </si>
  <si>
    <t>Traslado presupuestal</t>
  </si>
  <si>
    <t>RESOLUCIÓN 1542</t>
  </si>
  <si>
    <t>dirección Administrativa</t>
  </si>
  <si>
    <t>Prestar sus servicios profesionales para apoyar los procesos de gestión del patrimonio documental de la dirección administrativa</t>
  </si>
  <si>
    <t>RESOL 1541</t>
  </si>
  <si>
    <t>Pago de reajuste pensional de colpensiones  a la señora gloria maria ludobina matamoros de avila, ex servidora pública de la secretaría distrital de gobierno.articulo 1°. ordenese a la direccion financiera de la secretaria distrital de gobierno pagar la suma neta de un millon doscientos veintitres mil novecientos veintinueve pesos ($1.229.929), a la administradora colombiana de pensiones - colpensiones,  identificada con nit 900.336.004-7, de conformidad con el espuesto en la parte motiva.</t>
  </si>
  <si>
    <t>Pago de reajuste pensional de colpensiones  a la señora ana dolores correa camacho, ex servidora pública de la secretaría distrital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</si>
</sst>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164" formatCode="_-* #,##0.00\ _P_t_s_-;\-* #,##0.00\ _P_t_s_-;_-* &quot;-&quot;??\ _P_t_s_-;_-@_-"/>
    <numFmt numFmtId="165" formatCode="_-* #,##0\ _P_t_s_-;\-* #,##0\ _P_t_s_-;_-* &quot;-&quot;??\ _P_t_s_-;_-@_-"/>
    <numFmt numFmtId="166" formatCode="#.##0.00"/>
    <numFmt numFmtId="167" formatCode="#,##0.0"/>
    <numFmt numFmtId="168" formatCode="&quot;C.P.S &quot;###"/>
    <numFmt numFmtId="169" formatCode="#,##0_ ;\-#,##0\ "/>
    <numFmt numFmtId="170" formatCode="&quot;C.P.S.&quot;###"/>
    <numFmt numFmtId="171" formatCode="&quot;FACTURA&quot;\ ##############"/>
  </numFmts>
  <fonts count="3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b/>
      <sz val="11"/>
      <color indexed="8"/>
      <name val="Garamond"/>
      <family val="1"/>
    </font>
    <font>
      <sz val="11"/>
      <color indexed="8"/>
      <name val="Garamond"/>
      <family val="1"/>
    </font>
    <font>
      <b/>
      <sz val="12"/>
      <name val="Garamond"/>
      <family val="1"/>
    </font>
    <font>
      <sz val="10"/>
      <name val="Garamond"/>
      <family val="1"/>
    </font>
    <font>
      <b/>
      <sz val="9"/>
      <name val="Garamond"/>
      <family val="1"/>
    </font>
    <font>
      <sz val="9"/>
      <name val="Arial"/>
      <family val="2"/>
    </font>
    <font>
      <sz val="9"/>
      <name val="Garamond"/>
      <family val="1"/>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1"/>
      <name val="Garamond"/>
      <family val="1"/>
    </font>
    <font>
      <sz val="10"/>
      <name val="Arial"/>
      <family val="2"/>
    </font>
    <font>
      <sz val="8"/>
      <name val="Garamond"/>
      <family val="1"/>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6">
    <xf numFmtId="0" fontId="0" fillId="0" borderId="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6" fillId="17" borderId="0" applyNumberFormat="0" applyBorder="0" applyAlignment="0" applyProtection="0"/>
    <xf numFmtId="0" fontId="17" fillId="18" borderId="0" applyNumberFormat="0" applyBorder="0" applyAlignment="0" applyProtection="0"/>
    <xf numFmtId="0" fontId="16" fillId="18" borderId="0" applyNumberFormat="0" applyBorder="0" applyAlignment="0" applyProtection="0"/>
    <xf numFmtId="0" fontId="17" fillId="19" borderId="0" applyNumberFormat="0" applyBorder="0" applyAlignment="0" applyProtection="0"/>
    <xf numFmtId="0" fontId="16" fillId="19" borderId="0" applyNumberFormat="0" applyBorder="0" applyAlignment="0" applyProtection="0"/>
    <xf numFmtId="0" fontId="17" fillId="20"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9" fillId="23" borderId="16" applyNumberFormat="0" applyAlignment="0" applyProtection="0"/>
    <xf numFmtId="0" fontId="20" fillId="24" borderId="17" applyNumberFormat="0" applyAlignment="0" applyProtection="0"/>
    <xf numFmtId="0" fontId="21" fillId="0" borderId="18" applyNumberFormat="0" applyFill="0" applyAlignment="0" applyProtection="0"/>
    <xf numFmtId="0" fontId="22" fillId="0" borderId="19" applyNumberFormat="0" applyFill="0" applyAlignment="0" applyProtection="0"/>
    <xf numFmtId="0" fontId="23" fillId="0" borderId="0" applyNumberFormat="0" applyFill="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4" fillId="31" borderId="16" applyNumberFormat="0" applyAlignment="0" applyProtection="0"/>
    <xf numFmtId="0" fontId="25"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33" borderId="0" applyNumberFormat="0" applyBorder="0" applyAlignment="0" applyProtection="0"/>
    <xf numFmtId="0" fontId="27" fillId="33" borderId="0" applyNumberFormat="0" applyBorder="0" applyAlignment="0" applyProtection="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0" fontId="16" fillId="34" borderId="20" applyNumberFormat="0" applyFont="0" applyAlignment="0" applyProtection="0"/>
    <xf numFmtId="9" fontId="5" fillId="0" borderId="0" applyFont="0" applyFill="0" applyBorder="0" applyAlignment="0" applyProtection="0"/>
    <xf numFmtId="9" fontId="3" fillId="0" borderId="0" applyFont="0" applyFill="0" applyBorder="0" applyAlignment="0" applyProtection="0"/>
    <xf numFmtId="0" fontId="28" fillId="23" borderId="21"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23" fillId="0" borderId="23" applyNumberFormat="0" applyFill="0" applyAlignment="0" applyProtection="0"/>
    <xf numFmtId="0" fontId="33" fillId="0" borderId="0" applyNumberFormat="0" applyFill="0" applyBorder="0" applyAlignment="0" applyProtection="0"/>
    <xf numFmtId="0" fontId="34" fillId="0" borderId="24" applyNumberFormat="0" applyFill="0" applyAlignment="0" applyProtection="0"/>
    <xf numFmtId="41" fontId="36" fillId="0" borderId="0" applyFont="0" applyFill="0" applyBorder="0" applyAlignment="0" applyProtection="0"/>
    <xf numFmtId="0" fontId="2" fillId="0" borderId="0"/>
    <xf numFmtId="0" fontId="2" fillId="34" borderId="20" applyNumberFormat="0" applyFont="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1" fillId="0" borderId="0"/>
    <xf numFmtId="0" fontId="1" fillId="34" borderId="20"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cellStyleXfs>
  <cellXfs count="360">
    <xf numFmtId="0" fontId="0" fillId="0" borderId="0" xfId="0"/>
    <xf numFmtId="0" fontId="7" fillId="2" borderId="0" xfId="0" applyFont="1" applyFill="1" applyAlignment="1">
      <alignment vertical="center"/>
    </xf>
    <xf numFmtId="0" fontId="7" fillId="2" borderId="0" xfId="0" applyFont="1" applyFill="1"/>
    <xf numFmtId="0" fontId="8" fillId="2" borderId="0" xfId="0" applyFont="1" applyFill="1"/>
    <xf numFmtId="17" fontId="7" fillId="2" borderId="0" xfId="0" quotePrefix="1" applyNumberFormat="1" applyFont="1" applyFill="1" applyAlignment="1">
      <alignment horizontal="righ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35" borderId="2" xfId="0" applyNumberFormat="1" applyFont="1" applyFill="1" applyBorder="1" applyAlignment="1" applyProtection="1">
      <alignment horizontal="left" vertical="center"/>
      <protection locked="0"/>
    </xf>
    <xf numFmtId="0" fontId="8" fillId="35" borderId="2" xfId="0" applyNumberFormat="1" applyFont="1" applyFill="1" applyBorder="1" applyAlignment="1">
      <alignment horizontal="left"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4" fontId="8" fillId="2" borderId="3" xfId="0" applyNumberFormat="1" applyFont="1" applyFill="1" applyBorder="1" applyAlignment="1" applyProtection="1">
      <alignmen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NumberFormat="1" applyFont="1" applyFill="1" applyBorder="1" applyAlignment="1">
      <alignment horizontal="left" vertical="center"/>
    </xf>
    <xf numFmtId="4" fontId="8" fillId="35"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4" fontId="7" fillId="2" borderId="2" xfId="0" applyNumberFormat="1" applyFont="1" applyFill="1" applyBorder="1" applyAlignment="1" applyProtection="1">
      <alignment horizontal="left" vertical="center"/>
      <protection locked="0"/>
    </xf>
    <xf numFmtId="0" fontId="7" fillId="2" borderId="2" xfId="0" applyFont="1" applyFill="1" applyBorder="1" applyAlignment="1">
      <alignment vertical="center"/>
    </xf>
    <xf numFmtId="4" fontId="7" fillId="2" borderId="3" xfId="0" applyNumberFormat="1" applyFont="1" applyFill="1" applyBorder="1" applyAlignment="1" applyProtection="1">
      <alignment horizontal="left" vertical="center"/>
      <protection locked="0"/>
    </xf>
    <xf numFmtId="0" fontId="7" fillId="2" borderId="3" xfId="0" applyFont="1" applyFill="1" applyBorder="1" applyAlignment="1">
      <alignment vertical="center"/>
    </xf>
    <xf numFmtId="4" fontId="7" fillId="2" borderId="1" xfId="0" applyNumberFormat="1" applyFont="1" applyFill="1" applyBorder="1" applyAlignment="1" applyProtection="1">
      <alignment horizontal="left" vertical="center"/>
      <protection locked="0"/>
    </xf>
    <xf numFmtId="0" fontId="7" fillId="2" borderId="1" xfId="0" applyFont="1" applyFill="1" applyBorder="1" applyAlignment="1">
      <alignment vertical="center"/>
    </xf>
    <xf numFmtId="4" fontId="8" fillId="2" borderId="0" xfId="0" applyNumberFormat="1" applyFont="1" applyFill="1"/>
    <xf numFmtId="3" fontId="8" fillId="35" borderId="2" xfId="0" applyNumberFormat="1" applyFont="1" applyFill="1" applyBorder="1" applyAlignment="1" applyProtection="1">
      <alignment vertical="center"/>
      <protection locked="0"/>
    </xf>
    <xf numFmtId="3" fontId="8" fillId="2" borderId="3" xfId="0" applyNumberFormat="1" applyFont="1" applyFill="1" applyBorder="1" applyAlignment="1" applyProtection="1">
      <alignment vertical="center"/>
      <protection locked="0"/>
    </xf>
    <xf numFmtId="3" fontId="8" fillId="35" borderId="3" xfId="0" applyNumberFormat="1" applyFont="1" applyFill="1" applyBorder="1" applyAlignment="1" applyProtection="1">
      <alignment vertical="center"/>
      <protection locked="0"/>
    </xf>
    <xf numFmtId="3" fontId="7" fillId="2" borderId="2" xfId="0" applyNumberFormat="1" applyFont="1" applyFill="1" applyBorder="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3" fontId="8" fillId="2" borderId="3" xfId="0" applyNumberFormat="1" applyFont="1" applyFill="1" applyBorder="1" applyAlignment="1" applyProtection="1">
      <alignment horizontal="right" vertical="center"/>
      <protection locked="0"/>
    </xf>
    <xf numFmtId="3" fontId="7" fillId="2" borderId="1" xfId="0" applyNumberFormat="1" applyFont="1" applyFill="1" applyBorder="1" applyAlignment="1" applyProtection="1">
      <alignment horizontal="right" vertical="center"/>
      <protection locked="0"/>
    </xf>
    <xf numFmtId="0" fontId="6" fillId="2" borderId="2" xfId="0" applyFont="1" applyFill="1" applyBorder="1" applyAlignment="1">
      <alignment horizontal="center" vertical="justify"/>
    </xf>
    <xf numFmtId="0" fontId="8" fillId="0" borderId="0" xfId="0" applyFont="1"/>
    <xf numFmtId="0" fontId="8" fillId="2" borderId="0" xfId="0" applyFont="1" applyFill="1" applyBorder="1"/>
    <xf numFmtId="0" fontId="8" fillId="2" borderId="4" xfId="0" applyFont="1" applyFill="1" applyBorder="1"/>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3" xfId="0" applyFont="1" applyFill="1" applyBorder="1"/>
    <xf numFmtId="0" fontId="8" fillId="2" borderId="7" xfId="0" applyFont="1" applyFill="1" applyBorder="1"/>
    <xf numFmtId="0" fontId="8" fillId="2" borderId="5" xfId="0" applyFont="1" applyFill="1" applyBorder="1"/>
    <xf numFmtId="0" fontId="8" fillId="2" borderId="8" xfId="0" applyFont="1" applyFill="1" applyBorder="1"/>
    <xf numFmtId="0" fontId="8" fillId="2" borderId="9" xfId="0" applyFont="1" applyFill="1" applyBorder="1"/>
    <xf numFmtId="4" fontId="8" fillId="2" borderId="9" xfId="0" applyNumberFormat="1" applyFont="1" applyFill="1" applyBorder="1" applyProtection="1">
      <protection locked="0"/>
    </xf>
    <xf numFmtId="4" fontId="8" fillId="2" borderId="5" xfId="0" applyNumberFormat="1" applyFont="1" applyFill="1" applyBorder="1" applyProtection="1">
      <protection locked="0"/>
    </xf>
    <xf numFmtId="15" fontId="8" fillId="2" borderId="3" xfId="0" applyNumberFormat="1" applyFont="1" applyFill="1" applyBorder="1" applyAlignment="1">
      <alignment horizontal="center"/>
    </xf>
    <xf numFmtId="0" fontId="8" fillId="2" borderId="10" xfId="0" applyFont="1" applyFill="1" applyBorder="1"/>
    <xf numFmtId="0" fontId="8" fillId="2" borderId="8" xfId="0" applyFont="1" applyFill="1" applyBorder="1" applyAlignment="1">
      <alignment horizontal="center"/>
    </xf>
    <xf numFmtId="4" fontId="8" fillId="2" borderId="0" xfId="0" applyNumberFormat="1" applyFont="1" applyFill="1" applyBorder="1" applyProtection="1">
      <protection locked="0"/>
    </xf>
    <xf numFmtId="4" fontId="8" fillId="2" borderId="10" xfId="0" applyNumberFormat="1" applyFont="1" applyFill="1" applyBorder="1" applyProtection="1">
      <protection locked="0"/>
    </xf>
    <xf numFmtId="0" fontId="8" fillId="2" borderId="11" xfId="0" applyFont="1" applyFill="1" applyBorder="1"/>
    <xf numFmtId="0" fontId="8" fillId="2" borderId="6" xfId="0" applyFont="1" applyFill="1" applyBorder="1"/>
    <xf numFmtId="0" fontId="8" fillId="2" borderId="12" xfId="0" applyFont="1" applyFill="1" applyBorder="1"/>
    <xf numFmtId="0" fontId="8" fillId="2" borderId="13" xfId="0" applyFont="1" applyFill="1" applyBorder="1"/>
    <xf numFmtId="4" fontId="8" fillId="2" borderId="11" xfId="0" applyNumberFormat="1" applyFont="1" applyFill="1" applyBorder="1" applyProtection="1">
      <protection locked="0"/>
    </xf>
    <xf numFmtId="4" fontId="8" fillId="2" borderId="6" xfId="0" applyNumberFormat="1" applyFont="1" applyFill="1" applyBorder="1" applyProtection="1">
      <protection locked="0"/>
    </xf>
    <xf numFmtId="0" fontId="7" fillId="2" borderId="2" xfId="0" applyFont="1" applyFill="1" applyBorder="1" applyAlignment="1">
      <alignment horizontal="center" vertical="justify"/>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8" fillId="2" borderId="2" xfId="0" applyFont="1" applyFill="1" applyBorder="1"/>
    <xf numFmtId="0" fontId="8" fillId="2" borderId="3" xfId="0" applyFont="1" applyFill="1" applyBorder="1" applyAlignment="1">
      <alignment horizontal="left"/>
    </xf>
    <xf numFmtId="0" fontId="8" fillId="2" borderId="3" xfId="0" applyFont="1" applyFill="1" applyBorder="1" applyAlignment="1">
      <alignment horizontal="center"/>
    </xf>
    <xf numFmtId="0" fontId="8" fillId="2" borderId="8" xfId="0" applyFont="1" applyFill="1" applyBorder="1" applyAlignment="1">
      <alignment horizontal="left"/>
    </xf>
    <xf numFmtId="0" fontId="8" fillId="2" borderId="10" xfId="0" applyFont="1" applyFill="1" applyBorder="1" applyAlignment="1">
      <alignment horizontal="center"/>
    </xf>
    <xf numFmtId="4" fontId="8" fillId="2" borderId="3" xfId="0" applyNumberFormat="1" applyFont="1" applyFill="1" applyBorder="1" applyProtection="1">
      <protection locked="0"/>
    </xf>
    <xf numFmtId="4" fontId="8" fillId="36" borderId="10" xfId="0" applyNumberFormat="1" applyFont="1" applyFill="1" applyBorder="1" applyProtection="1">
      <protection locked="0"/>
    </xf>
    <xf numFmtId="0" fontId="8" fillId="2" borderId="14" xfId="0" applyFont="1" applyFill="1" applyBorder="1"/>
    <xf numFmtId="4" fontId="7" fillId="2" borderId="1" xfId="0" applyNumberFormat="1" applyFont="1" applyFill="1" applyBorder="1" applyProtection="1">
      <protection locked="0"/>
    </xf>
    <xf numFmtId="166" fontId="8" fillId="2" borderId="0" xfId="0" applyNumberFormat="1" applyFont="1" applyFill="1" applyBorder="1"/>
    <xf numFmtId="3" fontId="8" fillId="2" borderId="10" xfId="0" applyNumberFormat="1" applyFont="1" applyFill="1" applyBorder="1" applyProtection="1">
      <protection locked="0"/>
    </xf>
    <xf numFmtId="3" fontId="8" fillId="2" borderId="6" xfId="0" applyNumberFormat="1" applyFont="1" applyFill="1" applyBorder="1"/>
    <xf numFmtId="3" fontId="7" fillId="2" borderId="15" xfId="0" applyNumberFormat="1" applyFont="1" applyFill="1" applyBorder="1" applyProtection="1">
      <protection locked="0"/>
    </xf>
    <xf numFmtId="3" fontId="8" fillId="2" borderId="3" xfId="0" applyNumberFormat="1" applyFont="1" applyFill="1" applyBorder="1" applyProtection="1">
      <protection locked="0"/>
    </xf>
    <xf numFmtId="3" fontId="8" fillId="36" borderId="10" xfId="0" applyNumberFormat="1" applyFont="1" applyFill="1" applyBorder="1" applyProtection="1">
      <protection locked="0"/>
    </xf>
    <xf numFmtId="3" fontId="8" fillId="2" borderId="10" xfId="75" applyNumberFormat="1" applyFont="1" applyFill="1" applyBorder="1"/>
    <xf numFmtId="3" fontId="7" fillId="2" borderId="1" xfId="0" applyNumberFormat="1" applyFont="1" applyFill="1" applyBorder="1" applyProtection="1">
      <protection locked="0"/>
    </xf>
    <xf numFmtId="0" fontId="8" fillId="2" borderId="0" xfId="0" applyFont="1" applyFill="1" applyBorder="1" applyAlignment="1">
      <alignment horizontal="center"/>
    </xf>
    <xf numFmtId="0" fontId="35" fillId="36" borderId="10" xfId="140" applyFont="1" applyFill="1" applyBorder="1"/>
    <xf numFmtId="0" fontId="8" fillId="36" borderId="10" xfId="0" applyFont="1" applyFill="1" applyBorder="1" applyAlignment="1">
      <alignment horizontal="center"/>
    </xf>
    <xf numFmtId="0" fontId="8" fillId="36" borderId="8" xfId="0" applyFont="1" applyFill="1" applyBorder="1" applyAlignment="1">
      <alignment horizontal="left"/>
    </xf>
    <xf numFmtId="15" fontId="8" fillId="36" borderId="3" xfId="0" applyNumberFormat="1" applyFont="1" applyFill="1" applyBorder="1" applyAlignment="1">
      <alignment horizontal="center"/>
    </xf>
    <xf numFmtId="0" fontId="8" fillId="36" borderId="3" xfId="0" applyFont="1" applyFill="1" applyBorder="1" applyAlignment="1">
      <alignment horizontal="left"/>
    </xf>
    <xf numFmtId="0" fontId="8" fillId="36" borderId="3" xfId="0" applyFont="1" applyFill="1" applyBorder="1" applyAlignment="1">
      <alignment horizontal="center"/>
    </xf>
    <xf numFmtId="0" fontId="8" fillId="36" borderId="0" xfId="0" applyFont="1" applyFill="1" applyBorder="1"/>
    <xf numFmtId="4" fontId="8" fillId="2" borderId="0" xfId="0" applyNumberFormat="1" applyFont="1" applyFill="1" applyBorder="1"/>
    <xf numFmtId="3" fontId="8" fillId="2" borderId="14" xfId="0" applyNumberFormat="1" applyFont="1" applyFill="1" applyBorder="1"/>
    <xf numFmtId="0" fontId="8" fillId="36" borderId="0" xfId="0" applyFont="1" applyFill="1"/>
    <xf numFmtId="0" fontId="8" fillId="36" borderId="10" xfId="0" applyFont="1" applyFill="1" applyBorder="1"/>
    <xf numFmtId="4" fontId="8" fillId="2" borderId="13" xfId="0" applyNumberFormat="1" applyFont="1" applyFill="1" applyBorder="1" applyProtection="1">
      <protection locked="0"/>
    </xf>
    <xf numFmtId="0" fontId="8" fillId="36" borderId="8" xfId="0" applyFont="1" applyFill="1" applyBorder="1"/>
    <xf numFmtId="3" fontId="8" fillId="36" borderId="3" xfId="0" applyNumberFormat="1" applyFont="1" applyFill="1" applyBorder="1" applyProtection="1">
      <protection locked="0"/>
    </xf>
    <xf numFmtId="0" fontId="35" fillId="36" borderId="0" xfId="94" applyFont="1" applyFill="1"/>
    <xf numFmtId="15" fontId="35" fillId="36" borderId="0" xfId="94" applyNumberFormat="1" applyFont="1" applyFill="1"/>
    <xf numFmtId="0" fontId="35" fillId="36" borderId="8" xfId="94" applyFont="1" applyFill="1" applyBorder="1"/>
    <xf numFmtId="0" fontId="35" fillId="36" borderId="0" xfId="94" applyFont="1" applyFill="1" applyBorder="1"/>
    <xf numFmtId="0" fontId="35" fillId="36" borderId="10" xfId="94" applyFont="1" applyFill="1" applyBorder="1"/>
    <xf numFmtId="164" fontId="8" fillId="2" borderId="8" xfId="75" applyFont="1" applyFill="1" applyBorder="1"/>
    <xf numFmtId="3" fontId="8" fillId="2" borderId="3" xfId="0" applyNumberFormat="1" applyFont="1" applyFill="1" applyBorder="1"/>
    <xf numFmtId="15" fontId="8" fillId="2" borderId="8" xfId="0" applyNumberFormat="1"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xf numFmtId="0" fontId="8" fillId="2" borderId="1" xfId="0" applyFont="1" applyFill="1" applyBorder="1"/>
    <xf numFmtId="0" fontId="7" fillId="2" borderId="3" xfId="0" applyFont="1" applyFill="1" applyBorder="1" applyAlignment="1">
      <alignment horizontal="center" vertical="center"/>
    </xf>
    <xf numFmtId="0" fontId="7" fillId="2" borderId="0" xfId="0" applyFont="1" applyFill="1" applyBorder="1" applyAlignment="1">
      <alignment horizontal="center"/>
    </xf>
    <xf numFmtId="0" fontId="7" fillId="2" borderId="10" xfId="0" applyFont="1" applyFill="1" applyBorder="1" applyAlignment="1">
      <alignment horizontal="center"/>
    </xf>
    <xf numFmtId="0" fontId="7" fillId="2" borderId="10" xfId="0" applyFont="1" applyFill="1" applyBorder="1" applyAlignment="1">
      <alignment horizontal="center" vertical="center"/>
    </xf>
    <xf numFmtId="0" fontId="8" fillId="36" borderId="0" xfId="0" applyFont="1" applyFill="1" applyBorder="1" applyAlignment="1">
      <alignment horizontal="left"/>
    </xf>
    <xf numFmtId="15" fontId="8" fillId="2" borderId="14" xfId="0" applyNumberFormat="1" applyFont="1" applyFill="1" applyBorder="1" applyAlignment="1">
      <alignment horizontal="center"/>
    </xf>
    <xf numFmtId="0" fontId="8" fillId="2" borderId="14" xfId="0" applyFont="1" applyFill="1" applyBorder="1" applyAlignment="1">
      <alignment horizontal="left"/>
    </xf>
    <xf numFmtId="166" fontId="8" fillId="2" borderId="0" xfId="0" applyNumberFormat="1" applyFont="1" applyFill="1"/>
    <xf numFmtId="0" fontId="7" fillId="2" borderId="13" xfId="0" applyFont="1" applyFill="1" applyBorder="1" applyAlignment="1">
      <alignment horizontal="center"/>
    </xf>
    <xf numFmtId="0" fontId="7" fillId="2" borderId="7" xfId="0" applyFont="1" applyFill="1" applyBorder="1" applyAlignment="1">
      <alignment horizontal="center" vertical="center"/>
    </xf>
    <xf numFmtId="4" fontId="8" fillId="36" borderId="0" xfId="0" applyNumberFormat="1" applyFont="1" applyFill="1" applyBorder="1" applyProtection="1">
      <protection locked="0"/>
    </xf>
    <xf numFmtId="0" fontId="8" fillId="36" borderId="11" xfId="0" applyFont="1" applyFill="1" applyBorder="1"/>
    <xf numFmtId="0" fontId="8" fillId="36" borderId="6" xfId="0" applyFont="1" applyFill="1" applyBorder="1"/>
    <xf numFmtId="3" fontId="8" fillId="36" borderId="6" xfId="0" applyNumberFormat="1" applyFont="1" applyFill="1" applyBorder="1"/>
    <xf numFmtId="0" fontId="8" fillId="2" borderId="8" xfId="0" applyFont="1" applyFill="1" applyBorder="1" applyAlignment="1">
      <alignment horizontal="center" vertical="center"/>
    </xf>
    <xf numFmtId="15" fontId="8" fillId="2" borderId="7" xfId="0" applyNumberFormat="1" applyFont="1" applyFill="1" applyBorder="1" applyAlignment="1">
      <alignment horizontal="center"/>
    </xf>
    <xf numFmtId="4" fontId="8" fillId="2" borderId="2" xfId="0" applyNumberFormat="1" applyFont="1" applyFill="1" applyBorder="1"/>
    <xf numFmtId="0" fontId="8" fillId="2" borderId="3" xfId="0" applyFont="1" applyFill="1" applyBorder="1" applyAlignment="1">
      <alignment horizontal="center" vertical="center"/>
    </xf>
    <xf numFmtId="15" fontId="8" fillId="36" borderId="2" xfId="0" applyNumberFormat="1" applyFont="1" applyFill="1" applyBorder="1"/>
    <xf numFmtId="0" fontId="8" fillId="36" borderId="7" xfId="0" applyFont="1" applyFill="1" applyBorder="1"/>
    <xf numFmtId="15" fontId="8" fillId="36" borderId="5" xfId="0" applyNumberFormat="1" applyFont="1" applyFill="1" applyBorder="1"/>
    <xf numFmtId="0" fontId="8" fillId="36" borderId="9" xfId="0" applyFont="1" applyFill="1" applyBorder="1"/>
    <xf numFmtId="0" fontId="8" fillId="36" borderId="5" xfId="0" applyFont="1" applyFill="1" applyBorder="1"/>
    <xf numFmtId="4" fontId="8" fillId="36" borderId="2" xfId="0" applyNumberFormat="1" applyFont="1" applyFill="1" applyBorder="1"/>
    <xf numFmtId="0" fontId="7" fillId="2" borderId="8" xfId="0" applyFont="1" applyFill="1" applyBorder="1" applyAlignment="1">
      <alignment horizontal="center" vertical="center"/>
    </xf>
    <xf numFmtId="0" fontId="35" fillId="36" borderId="0" xfId="0" applyFont="1" applyFill="1" applyBorder="1" applyAlignment="1">
      <alignment horizontal="left" vertical="center"/>
    </xf>
    <xf numFmtId="0" fontId="35" fillId="36" borderId="10" xfId="0" applyFont="1" applyFill="1" applyBorder="1" applyAlignment="1">
      <alignment horizontal="left" vertical="center"/>
    </xf>
    <xf numFmtId="0" fontId="7" fillId="2" borderId="0" xfId="0" applyFont="1" applyFill="1" applyBorder="1" applyAlignment="1">
      <alignment horizontal="center" vertical="center"/>
    </xf>
    <xf numFmtId="3" fontId="7" fillId="2" borderId="6" xfId="0" applyNumberFormat="1" applyFont="1" applyFill="1" applyBorder="1" applyProtection="1">
      <protection locked="0"/>
    </xf>
    <xf numFmtId="0" fontId="7" fillId="2" borderId="13" xfId="0" applyFont="1" applyFill="1" applyBorder="1" applyAlignment="1">
      <alignment horizontal="left"/>
    </xf>
    <xf numFmtId="14" fontId="8" fillId="2" borderId="3" xfId="0" applyNumberFormat="1" applyFont="1" applyFill="1" applyBorder="1"/>
    <xf numFmtId="4" fontId="8" fillId="2" borderId="5" xfId="75" applyNumberFormat="1" applyFont="1" applyFill="1" applyBorder="1" applyAlignment="1"/>
    <xf numFmtId="0" fontId="8" fillId="2" borderId="8" xfId="0" applyFont="1" applyFill="1" applyBorder="1" applyAlignment="1">
      <alignment horizontal="left" vertical="center"/>
    </xf>
    <xf numFmtId="4" fontId="8" fillId="2" borderId="6" xfId="0" applyNumberFormat="1" applyFont="1" applyFill="1" applyBorder="1"/>
    <xf numFmtId="0" fontId="7" fillId="2" borderId="7" xfId="0" applyFont="1" applyFill="1" applyBorder="1" applyAlignment="1">
      <alignment horizontal="center"/>
    </xf>
    <xf numFmtId="0" fontId="7" fillId="2" borderId="9" xfId="0" applyFont="1" applyFill="1" applyBorder="1" applyAlignment="1">
      <alignment horizontal="center"/>
    </xf>
    <xf numFmtId="0" fontId="7" fillId="2" borderId="5" xfId="0" applyFont="1" applyFill="1" applyBorder="1" applyAlignment="1">
      <alignment horizontal="center"/>
    </xf>
    <xf numFmtId="4" fontId="8" fillId="2" borderId="4" xfId="0" applyNumberFormat="1" applyFont="1" applyFill="1" applyBorder="1" applyProtection="1">
      <protection locked="0"/>
    </xf>
    <xf numFmtId="4" fontId="10" fillId="2" borderId="10" xfId="0" applyNumberFormat="1" applyFont="1" applyFill="1" applyBorder="1" applyProtection="1">
      <protection locked="0"/>
    </xf>
    <xf numFmtId="0" fontId="10" fillId="2" borderId="8" xfId="0" applyFont="1" applyFill="1" applyBorder="1"/>
    <xf numFmtId="3" fontId="10" fillId="2" borderId="10" xfId="0" applyNumberFormat="1" applyFont="1" applyFill="1" applyBorder="1" applyProtection="1">
      <protection locked="0"/>
    </xf>
    <xf numFmtId="0" fontId="8" fillId="36" borderId="8" xfId="0" applyFont="1" applyFill="1" applyBorder="1" applyAlignment="1">
      <alignment horizontal="center"/>
    </xf>
    <xf numFmtId="0" fontId="10" fillId="36" borderId="8" xfId="0" applyFont="1" applyFill="1" applyBorder="1"/>
    <xf numFmtId="0" fontId="35" fillId="0" borderId="10" xfId="84" applyFont="1" applyBorder="1"/>
    <xf numFmtId="3" fontId="8" fillId="2" borderId="0" xfId="0" applyNumberFormat="1" applyFont="1" applyFill="1"/>
    <xf numFmtId="4" fontId="7" fillId="2" borderId="13" xfId="0" applyNumberFormat="1" applyFont="1" applyFill="1" applyBorder="1" applyProtection="1">
      <protection locked="0"/>
    </xf>
    <xf numFmtId="4" fontId="8" fillId="2" borderId="4" xfId="0" applyNumberFormat="1" applyFont="1" applyFill="1" applyBorder="1"/>
    <xf numFmtId="165" fontId="8" fillId="2" borderId="5" xfId="75" applyNumberFormat="1" applyFont="1" applyFill="1" applyBorder="1" applyAlignment="1">
      <alignment horizontal="left"/>
    </xf>
    <xf numFmtId="4" fontId="8" fillId="2" borderId="15" xfId="0" applyNumberFormat="1" applyFont="1" applyFill="1" applyBorder="1" applyProtection="1">
      <protection locked="0"/>
    </xf>
    <xf numFmtId="3" fontId="10" fillId="2" borderId="3" xfId="0" applyNumberFormat="1" applyFont="1" applyFill="1" applyBorder="1" applyProtection="1">
      <protection locked="0"/>
    </xf>
    <xf numFmtId="0" fontId="8" fillId="0" borderId="14" xfId="0" applyFont="1" applyBorder="1"/>
    <xf numFmtId="3" fontId="7" fillId="2" borderId="13" xfId="0" applyNumberFormat="1" applyFont="1" applyFill="1" applyBorder="1" applyProtection="1">
      <protection locked="0"/>
    </xf>
    <xf numFmtId="4" fontId="8" fillId="2" borderId="13" xfId="0" applyNumberFormat="1" applyFont="1" applyFill="1" applyBorder="1"/>
    <xf numFmtId="4" fontId="35" fillId="0" borderId="13" xfId="124" applyNumberFormat="1" applyFont="1" applyBorder="1"/>
    <xf numFmtId="3" fontId="8" fillId="2" borderId="0" xfId="0" applyNumberFormat="1" applyFont="1" applyFill="1" applyBorder="1"/>
    <xf numFmtId="3" fontId="8" fillId="2" borderId="13" xfId="0" applyNumberFormat="1" applyFont="1" applyFill="1" applyBorder="1"/>
    <xf numFmtId="4" fontId="7" fillId="2" borderId="2" xfId="0" applyNumberFormat="1" applyFont="1" applyFill="1" applyBorder="1" applyAlignment="1" applyProtection="1">
      <alignment horizontal="right" vertical="center"/>
      <protection locked="0"/>
    </xf>
    <xf numFmtId="4" fontId="8" fillId="2" borderId="10" xfId="0" applyNumberFormat="1" applyFont="1" applyFill="1" applyBorder="1"/>
    <xf numFmtId="0" fontId="6" fillId="2" borderId="1" xfId="0" applyFont="1" applyFill="1" applyBorder="1" applyAlignment="1">
      <alignment horizontal="center" vertical="center"/>
    </xf>
    <xf numFmtId="4" fontId="7" fillId="2" borderId="1" xfId="0" applyNumberFormat="1" applyFont="1" applyFill="1" applyBorder="1" applyAlignment="1" applyProtection="1">
      <alignment horizontal="right" vertical="center"/>
      <protection locked="0"/>
    </xf>
    <xf numFmtId="0" fontId="6" fillId="2" borderId="0" xfId="0" applyFont="1" applyFill="1"/>
    <xf numFmtId="3" fontId="8" fillId="37" borderId="3" xfId="0" applyNumberFormat="1" applyFont="1" applyFill="1" applyBorder="1" applyAlignment="1" applyProtection="1">
      <alignment vertical="center"/>
      <protection locked="0"/>
    </xf>
    <xf numFmtId="0" fontId="7" fillId="36" borderId="0" xfId="0" applyFont="1" applyFill="1" applyBorder="1" applyAlignment="1">
      <alignment vertical="center" wrapText="1"/>
    </xf>
    <xf numFmtId="0" fontId="7" fillId="36" borderId="0" xfId="0" applyFont="1" applyFill="1" applyBorder="1" applyAlignment="1">
      <alignment vertical="center"/>
    </xf>
    <xf numFmtId="0" fontId="7" fillId="36" borderId="0" xfId="0" applyFont="1" applyFill="1" applyBorder="1" applyAlignment="1">
      <alignment horizontal="center" vertical="center" wrapText="1"/>
    </xf>
    <xf numFmtId="0" fontId="11" fillId="36" borderId="0" xfId="0" quotePrefix="1" applyFont="1" applyFill="1" applyBorder="1" applyAlignment="1">
      <alignment horizontal="right" vertical="center"/>
    </xf>
    <xf numFmtId="0" fontId="6" fillId="2" borderId="0" xfId="0" applyFont="1" applyFill="1" applyAlignment="1">
      <alignment vertical="center"/>
    </xf>
    <xf numFmtId="0" fontId="12" fillId="2" borderId="0" xfId="0" applyFont="1" applyFill="1"/>
    <xf numFmtId="4" fontId="6" fillId="2" borderId="0" xfId="0" applyNumberFormat="1" applyFont="1" applyFill="1" applyAlignment="1">
      <alignment vertical="center"/>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8" borderId="1" xfId="0" applyFont="1" applyFill="1" applyBorder="1" applyAlignment="1">
      <alignment horizontal="center" vertical="center"/>
    </xf>
    <xf numFmtId="0" fontId="12" fillId="35" borderId="2" xfId="0" applyNumberFormat="1" applyFont="1" applyFill="1" applyBorder="1" applyAlignment="1" applyProtection="1">
      <alignment horizontal="left" vertical="center"/>
      <protection locked="0"/>
    </xf>
    <xf numFmtId="0" fontId="12" fillId="35" borderId="2" xfId="0" applyNumberFormat="1" applyFont="1" applyFill="1" applyBorder="1" applyAlignment="1">
      <alignment horizontal="left" vertical="center"/>
    </xf>
    <xf numFmtId="3" fontId="12" fillId="35" borderId="2" xfId="0" applyNumberFormat="1" applyFont="1" applyFill="1" applyBorder="1" applyAlignment="1" applyProtection="1">
      <alignment vertical="center"/>
      <protection locked="0"/>
    </xf>
    <xf numFmtId="10" fontId="12" fillId="35" borderId="2" xfId="0" applyNumberFormat="1" applyFont="1" applyFill="1" applyBorder="1" applyAlignment="1" applyProtection="1">
      <alignment horizontal="center" vertical="center"/>
      <protection locked="0"/>
    </xf>
    <xf numFmtId="0" fontId="12" fillId="2" borderId="3" xfId="0" applyNumberFormat="1" applyFont="1" applyFill="1" applyBorder="1" applyAlignment="1" applyProtection="1">
      <alignment horizontal="left" vertical="center"/>
      <protection locked="0"/>
    </xf>
    <xf numFmtId="0" fontId="12" fillId="2" borderId="3" xfId="0" applyFont="1" applyFill="1" applyBorder="1" applyAlignment="1">
      <alignment vertical="center"/>
    </xf>
    <xf numFmtId="3" fontId="12" fillId="2" borderId="3" xfId="0" applyNumberFormat="1" applyFont="1" applyFill="1" applyBorder="1" applyAlignment="1" applyProtection="1">
      <alignment vertical="center"/>
      <protection locked="0"/>
    </xf>
    <xf numFmtId="10" fontId="12" fillId="2" borderId="3" xfId="0" applyNumberFormat="1" applyFont="1" applyFill="1" applyBorder="1" applyAlignment="1" applyProtection="1">
      <alignment horizontal="center" vertical="center"/>
      <protection locked="0"/>
    </xf>
    <xf numFmtId="167" fontId="12" fillId="2" borderId="3" xfId="0" applyNumberFormat="1" applyFont="1" applyFill="1" applyBorder="1" applyAlignment="1" applyProtection="1">
      <alignment vertical="center"/>
      <protection locked="0"/>
    </xf>
    <xf numFmtId="4" fontId="12" fillId="2" borderId="3" xfId="0" applyNumberFormat="1" applyFont="1" applyFill="1" applyBorder="1" applyAlignment="1" applyProtection="1">
      <alignment vertical="center"/>
      <protection locked="0"/>
    </xf>
    <xf numFmtId="0" fontId="12" fillId="35" borderId="3" xfId="0" applyNumberFormat="1" applyFont="1" applyFill="1" applyBorder="1" applyAlignment="1" applyProtection="1">
      <alignment horizontal="left" vertical="center"/>
      <protection locked="0"/>
    </xf>
    <xf numFmtId="0" fontId="12" fillId="35" borderId="3" xfId="0" applyNumberFormat="1" applyFont="1" applyFill="1" applyBorder="1" applyAlignment="1">
      <alignment horizontal="left" vertical="center"/>
    </xf>
    <xf numFmtId="3" fontId="12" fillId="35" borderId="3" xfId="0" applyNumberFormat="1" applyFont="1" applyFill="1" applyBorder="1" applyAlignment="1" applyProtection="1">
      <alignment vertical="center"/>
      <protection locked="0"/>
    </xf>
    <xf numFmtId="10" fontId="12" fillId="35" borderId="3" xfId="0" applyNumberFormat="1" applyFont="1" applyFill="1" applyBorder="1" applyAlignment="1" applyProtection="1">
      <alignment horizontal="center" vertical="center"/>
      <protection locked="0"/>
    </xf>
    <xf numFmtId="0" fontId="12" fillId="2" borderId="3" xfId="0" applyNumberFormat="1" applyFont="1" applyFill="1" applyBorder="1" applyAlignment="1">
      <alignment horizontal="left" vertical="center"/>
    </xf>
    <xf numFmtId="4" fontId="6" fillId="2" borderId="2" xfId="0" applyNumberFormat="1" applyFont="1" applyFill="1" applyBorder="1" applyAlignment="1" applyProtection="1">
      <alignment horizontal="left" vertical="center"/>
      <protection locked="0"/>
    </xf>
    <xf numFmtId="0" fontId="6" fillId="2" borderId="2" xfId="0" applyFont="1" applyFill="1" applyBorder="1" applyAlignment="1">
      <alignment vertical="center"/>
    </xf>
    <xf numFmtId="3" fontId="6" fillId="2" borderId="2" xfId="0" applyNumberFormat="1" applyFont="1" applyFill="1" applyBorder="1" applyAlignment="1" applyProtection="1">
      <alignment horizontal="right" vertical="center"/>
      <protection locked="0"/>
    </xf>
    <xf numFmtId="10" fontId="6" fillId="2" borderId="2" xfId="185" applyNumberFormat="1" applyFont="1" applyFill="1" applyBorder="1" applyAlignment="1" applyProtection="1">
      <alignment horizontal="center" vertical="center"/>
      <protection locked="0"/>
    </xf>
    <xf numFmtId="4" fontId="6" fillId="2" borderId="2" xfId="0" applyNumberFormat="1" applyFont="1" applyFill="1" applyBorder="1" applyAlignment="1" applyProtection="1">
      <alignment horizontal="right" vertical="center"/>
      <protection locked="0"/>
    </xf>
    <xf numFmtId="4"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3" fontId="6" fillId="2" borderId="3" xfId="0" applyNumberFormat="1" applyFont="1" applyFill="1" applyBorder="1" applyAlignment="1" applyProtection="1">
      <alignment horizontal="right" vertical="center"/>
      <protection locked="0"/>
    </xf>
    <xf numFmtId="10" fontId="6" fillId="2" borderId="3" xfId="0" applyNumberFormat="1" applyFont="1" applyFill="1" applyBorder="1" applyAlignment="1" applyProtection="1">
      <alignment horizontal="center" vertical="center"/>
      <protection locked="0"/>
    </xf>
    <xf numFmtId="3" fontId="12" fillId="2" borderId="3" xfId="0" applyNumberFormat="1" applyFont="1" applyFill="1" applyBorder="1" applyAlignment="1" applyProtection="1">
      <alignment horizontal="right" vertical="center"/>
      <protection locked="0"/>
    </xf>
    <xf numFmtId="10" fontId="12" fillId="2" borderId="3" xfId="185" applyNumberFormat="1" applyFont="1" applyFill="1" applyBorder="1" applyAlignment="1" applyProtection="1">
      <alignment horizontal="center" vertical="center"/>
      <protection locked="0"/>
    </xf>
    <xf numFmtId="4" fontId="6" fillId="2" borderId="1" xfId="0" applyNumberFormat="1" applyFont="1" applyFill="1" applyBorder="1" applyAlignment="1" applyProtection="1">
      <alignment horizontal="left" vertical="center"/>
      <protection locked="0"/>
    </xf>
    <xf numFmtId="0" fontId="6" fillId="2" borderId="1" xfId="0" applyFont="1" applyFill="1" applyBorder="1" applyAlignment="1">
      <alignment vertical="center"/>
    </xf>
    <xf numFmtId="3" fontId="6" fillId="2" borderId="1" xfId="0" applyNumberFormat="1" applyFont="1" applyFill="1" applyBorder="1" applyAlignment="1" applyProtection="1">
      <alignment horizontal="right" vertical="center"/>
      <protection locked="0"/>
    </xf>
    <xf numFmtId="3" fontId="6" fillId="37" borderId="1" xfId="0" applyNumberFormat="1" applyFont="1" applyFill="1" applyBorder="1" applyAlignment="1" applyProtection="1">
      <alignment horizontal="right" vertical="center"/>
      <protection locked="0"/>
    </xf>
    <xf numFmtId="10" fontId="6" fillId="2" borderId="1" xfId="185" applyNumberFormat="1" applyFont="1" applyFill="1" applyBorder="1" applyAlignment="1" applyProtection="1">
      <alignment horizontal="center" vertical="center"/>
      <protection locked="0"/>
    </xf>
    <xf numFmtId="3" fontId="6" fillId="39" borderId="1" xfId="0" applyNumberFormat="1" applyFont="1" applyFill="1" applyBorder="1" applyAlignment="1" applyProtection="1">
      <alignment horizontal="right" vertical="center"/>
      <protection locked="0"/>
    </xf>
    <xf numFmtId="3" fontId="6" fillId="38" borderId="1" xfId="0" applyNumberFormat="1" applyFont="1" applyFill="1" applyBorder="1" applyAlignment="1" applyProtection="1">
      <alignment horizontal="right" vertical="center"/>
      <protection locked="0"/>
    </xf>
    <xf numFmtId="0" fontId="8" fillId="36" borderId="14" xfId="0" applyFont="1" applyFill="1" applyBorder="1" applyProtection="1">
      <protection locked="0"/>
    </xf>
    <xf numFmtId="0" fontId="8" fillId="36" borderId="11" xfId="0" applyFont="1" applyFill="1" applyBorder="1" applyProtection="1">
      <protection locked="0"/>
    </xf>
    <xf numFmtId="3" fontId="12" fillId="2" borderId="0" xfId="0" applyNumberFormat="1" applyFont="1" applyFill="1"/>
    <xf numFmtId="3" fontId="8" fillId="2" borderId="10" xfId="0" applyNumberFormat="1" applyFont="1" applyFill="1" applyBorder="1"/>
    <xf numFmtId="0" fontId="13" fillId="39" borderId="1" xfId="0" applyFont="1" applyFill="1" applyBorder="1" applyAlignment="1">
      <alignment horizontal="center" vertical="center" wrapText="1"/>
    </xf>
    <xf numFmtId="3" fontId="8" fillId="2" borderId="8" xfId="0" applyNumberFormat="1" applyFont="1" applyFill="1" applyBorder="1"/>
    <xf numFmtId="3" fontId="8" fillId="0" borderId="0" xfId="0" applyNumberFormat="1" applyFont="1"/>
    <xf numFmtId="4" fontId="8" fillId="0" borderId="0" xfId="0" applyNumberFormat="1" applyFont="1"/>
    <xf numFmtId="3" fontId="8" fillId="2" borderId="11" xfId="0" applyNumberFormat="1" applyFont="1" applyFill="1" applyBorder="1" applyProtection="1">
      <protection locked="0"/>
    </xf>
    <xf numFmtId="3" fontId="8" fillId="36" borderId="0" xfId="0" applyNumberFormat="1" applyFont="1" applyFill="1" applyBorder="1" applyProtection="1">
      <protection locked="0"/>
    </xf>
    <xf numFmtId="3" fontId="8" fillId="36" borderId="8" xfId="0" applyNumberFormat="1" applyFont="1" applyFill="1" applyBorder="1" applyProtection="1">
      <protection locked="0"/>
    </xf>
    <xf numFmtId="0" fontId="8" fillId="0" borderId="11" xfId="0" applyFont="1" applyBorder="1"/>
    <xf numFmtId="0" fontId="35" fillId="36" borderId="8" xfId="153" applyFont="1" applyFill="1" applyBorder="1" applyAlignment="1">
      <alignment horizontal="center"/>
    </xf>
    <xf numFmtId="0" fontId="8" fillId="0" borderId="7" xfId="0" applyFont="1" applyBorder="1"/>
    <xf numFmtId="0" fontId="8" fillId="2" borderId="3" xfId="0" applyNumberFormat="1" applyFont="1" applyFill="1" applyBorder="1" applyAlignment="1">
      <alignment horizontal="center"/>
    </xf>
    <xf numFmtId="3" fontId="8" fillId="2" borderId="8" xfId="0" applyNumberFormat="1" applyFont="1" applyFill="1" applyBorder="1" applyAlignment="1" applyProtection="1">
      <alignment horizontal="left"/>
      <protection locked="0"/>
    </xf>
    <xf numFmtId="3" fontId="8" fillId="2" borderId="10" xfId="0" applyNumberFormat="1" applyFont="1" applyFill="1" applyBorder="1" applyAlignment="1" applyProtection="1">
      <protection locked="0"/>
    </xf>
    <xf numFmtId="4" fontId="8" fillId="2" borderId="14" xfId="0" applyNumberFormat="1" applyFont="1" applyFill="1" applyBorder="1" applyProtection="1">
      <protection locked="0"/>
    </xf>
    <xf numFmtId="0" fontId="8" fillId="2" borderId="10" xfId="0" applyFont="1" applyFill="1" applyBorder="1" applyAlignment="1">
      <alignment horizontal="left"/>
    </xf>
    <xf numFmtId="165" fontId="8" fillId="2" borderId="2" xfId="75" applyNumberFormat="1" applyFont="1" applyFill="1" applyBorder="1"/>
    <xf numFmtId="0" fontId="12" fillId="36" borderId="3" xfId="0" applyFont="1" applyFill="1" applyBorder="1" applyAlignment="1">
      <alignment horizontal="left"/>
    </xf>
    <xf numFmtId="165" fontId="8" fillId="2" borderId="10" xfId="75" applyNumberFormat="1" applyFont="1" applyFill="1" applyBorder="1" applyAlignment="1">
      <alignment horizontal="right"/>
    </xf>
    <xf numFmtId="165" fontId="8" fillId="2" borderId="10" xfId="75" applyNumberFormat="1" applyFont="1" applyFill="1" applyBorder="1" applyAlignment="1">
      <alignment vertical="center"/>
    </xf>
    <xf numFmtId="0" fontId="0" fillId="0" borderId="0" xfId="0" applyAlignment="1">
      <alignment horizontal="center"/>
    </xf>
    <xf numFmtId="0" fontId="7" fillId="2" borderId="8" xfId="0" applyFont="1" applyFill="1" applyBorder="1" applyAlignment="1">
      <alignment horizontal="left" vertical="center"/>
    </xf>
    <xf numFmtId="0" fontId="7" fillId="2" borderId="8" xfId="0" applyFont="1" applyFill="1" applyBorder="1" applyAlignment="1">
      <alignment horizontal="center"/>
    </xf>
    <xf numFmtId="0" fontId="10" fillId="36" borderId="8" xfId="0" applyNumberFormat="1" applyFont="1" applyFill="1" applyBorder="1"/>
    <xf numFmtId="0" fontId="12" fillId="2" borderId="3" xfId="0" applyFont="1" applyFill="1" applyBorder="1"/>
    <xf numFmtId="165" fontId="8" fillId="2" borderId="3" xfId="75" applyNumberFormat="1" applyFont="1" applyFill="1" applyBorder="1"/>
    <xf numFmtId="165" fontId="8" fillId="2" borderId="10" xfId="75" applyNumberFormat="1" applyFont="1" applyFill="1" applyBorder="1" applyProtection="1">
      <protection locked="0"/>
    </xf>
    <xf numFmtId="165" fontId="8" fillId="2" borderId="10" xfId="75" applyNumberFormat="1" applyFont="1" applyFill="1" applyBorder="1" applyAlignment="1">
      <alignment horizontal="right" vertical="center"/>
    </xf>
    <xf numFmtId="0" fontId="8" fillId="36"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15" fontId="8" fillId="2" borderId="8" xfId="0" applyNumberFormat="1" applyFont="1" applyFill="1" applyBorder="1" applyAlignment="1">
      <alignment horizontal="center" vertical="center"/>
    </xf>
    <xf numFmtId="0" fontId="0" fillId="0" borderId="8" xfId="0" applyBorder="1"/>
    <xf numFmtId="0" fontId="14" fillId="0" borderId="0" xfId="0" applyFont="1"/>
    <xf numFmtId="0" fontId="15" fillId="2" borderId="3" xfId="0" applyFont="1" applyFill="1" applyBorder="1" applyAlignment="1">
      <alignment horizontal="left"/>
    </xf>
    <xf numFmtId="165" fontId="8" fillId="2" borderId="10" xfId="75" applyNumberFormat="1" applyFont="1" applyFill="1" applyBorder="1" applyAlignment="1">
      <alignment horizontal="center" vertical="center"/>
    </xf>
    <xf numFmtId="0" fontId="8" fillId="2" borderId="8" xfId="0" applyNumberFormat="1" applyFont="1" applyFill="1" applyBorder="1"/>
    <xf numFmtId="0" fontId="8" fillId="2" borderId="10" xfId="75" applyNumberFormat="1" applyFont="1" applyFill="1" applyBorder="1" applyAlignment="1">
      <alignment horizontal="center"/>
    </xf>
    <xf numFmtId="3" fontId="8" fillId="2" borderId="2" xfId="75" applyNumberFormat="1" applyFont="1" applyFill="1" applyBorder="1" applyAlignment="1">
      <alignment horizontal="center"/>
    </xf>
    <xf numFmtId="3" fontId="8" fillId="2" borderId="10" xfId="75" applyNumberFormat="1" applyFont="1" applyFill="1" applyBorder="1" applyAlignment="1">
      <alignment horizontal="center"/>
    </xf>
    <xf numFmtId="0" fontId="8" fillId="2" borderId="8" xfId="0" applyNumberFormat="1" applyFont="1" applyFill="1" applyBorder="1" applyAlignment="1">
      <alignment horizontal="left"/>
    </xf>
    <xf numFmtId="3" fontId="8" fillId="0" borderId="14" xfId="0" applyNumberFormat="1" applyFont="1" applyBorder="1"/>
    <xf numFmtId="15" fontId="8" fillId="36" borderId="0" xfId="0" applyNumberFormat="1" applyFont="1" applyFill="1" applyBorder="1" applyAlignment="1">
      <alignment horizontal="center"/>
    </xf>
    <xf numFmtId="0" fontId="8" fillId="36" borderId="0" xfId="0" applyFont="1" applyFill="1" applyBorder="1" applyAlignment="1">
      <alignment horizontal="center"/>
    </xf>
    <xf numFmtId="0" fontId="7" fillId="2" borderId="2" xfId="0" applyFont="1" applyFill="1" applyBorder="1" applyAlignment="1">
      <alignment horizontal="center"/>
    </xf>
    <xf numFmtId="4" fontId="35" fillId="0" borderId="13" xfId="124" applyNumberFormat="1" applyFont="1" applyBorder="1"/>
    <xf numFmtId="0" fontId="8" fillId="2" borderId="8" xfId="0" applyFont="1" applyFill="1" applyBorder="1" applyAlignment="1"/>
    <xf numFmtId="4" fontId="8" fillId="2" borderId="8" xfId="0" applyNumberFormat="1" applyFont="1" applyFill="1" applyBorder="1" applyProtection="1">
      <protection locked="0"/>
    </xf>
    <xf numFmtId="0" fontId="8" fillId="36" borderId="2" xfId="0" applyFont="1" applyFill="1" applyBorder="1" applyAlignment="1">
      <alignment horizontal="center"/>
    </xf>
    <xf numFmtId="4" fontId="7" fillId="2" borderId="10" xfId="0" applyNumberFormat="1" applyFont="1" applyFill="1" applyBorder="1" applyAlignment="1">
      <alignment horizontal="center" vertical="center"/>
    </xf>
    <xf numFmtId="3" fontId="8" fillId="2" borderId="10" xfId="75" applyNumberFormat="1" applyFont="1" applyFill="1" applyBorder="1" applyAlignment="1">
      <alignment horizontal="center" vertical="center"/>
    </xf>
    <xf numFmtId="0" fontId="35" fillId="36" borderId="8" xfId="153" applyFont="1" applyFill="1" applyBorder="1" applyAlignment="1">
      <alignment horizontal="left"/>
    </xf>
    <xf numFmtId="0" fontId="8" fillId="0" borderId="8" xfId="0" applyNumberFormat="1" applyFont="1" applyBorder="1"/>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8" fillId="2" borderId="0" xfId="0" applyFont="1" applyFill="1" applyBorder="1" applyAlignment="1">
      <alignment horizontal="center" vertical="center"/>
    </xf>
    <xf numFmtId="41" fontId="8" fillId="2" borderId="0" xfId="195" applyFont="1" applyFill="1" applyBorder="1" applyAlignment="1">
      <alignment horizontal="center" vertical="center"/>
    </xf>
    <xf numFmtId="165" fontId="8" fillId="2" borderId="2" xfId="75" applyNumberFormat="1" applyFont="1" applyFill="1" applyBorder="1" applyAlignment="1">
      <alignment horizontal="right"/>
    </xf>
    <xf numFmtId="165" fontId="8" fillId="2" borderId="10" xfId="75" applyNumberFormat="1" applyFont="1" applyFill="1" applyBorder="1" applyAlignment="1">
      <alignment horizontal="left"/>
    </xf>
    <xf numFmtId="3" fontId="8" fillId="2" borderId="3" xfId="0" applyNumberFormat="1" applyFont="1" applyFill="1" applyBorder="1" applyAlignment="1" applyProtection="1">
      <alignment horizontal="left"/>
      <protection locked="0"/>
    </xf>
    <xf numFmtId="165" fontId="8" fillId="2" borderId="2" xfId="75" applyNumberFormat="1" applyFont="1" applyFill="1" applyBorder="1" applyAlignment="1">
      <alignment horizontal="right" vertical="center"/>
    </xf>
    <xf numFmtId="14" fontId="8" fillId="2" borderId="3" xfId="0" applyNumberFormat="1" applyFont="1" applyFill="1" applyBorder="1" applyAlignment="1">
      <alignment horizontal="center" vertical="center"/>
    </xf>
    <xf numFmtId="15" fontId="8" fillId="36" borderId="10" xfId="0" applyNumberFormat="1" applyFont="1" applyFill="1" applyBorder="1"/>
    <xf numFmtId="4" fontId="8" fillId="36" borderId="3" xfId="0" applyNumberFormat="1" applyFont="1" applyFill="1" applyBorder="1"/>
    <xf numFmtId="4" fontId="8" fillId="2" borderId="10" xfId="75" applyNumberFormat="1" applyFont="1" applyFill="1" applyBorder="1" applyAlignment="1"/>
    <xf numFmtId="0" fontId="7" fillId="40" borderId="0" xfId="0" applyFont="1" applyFill="1" applyBorder="1" applyAlignment="1">
      <alignment vertical="center" wrapText="1"/>
    </xf>
    <xf numFmtId="0" fontId="7" fillId="40" borderId="0" xfId="0" applyFont="1" applyFill="1" applyBorder="1" applyAlignment="1">
      <alignment horizontal="center" vertical="center" wrapText="1"/>
    </xf>
    <xf numFmtId="0" fontId="7" fillId="40" borderId="0" xfId="0" applyFont="1" applyFill="1" applyBorder="1" applyAlignment="1">
      <alignment horizontal="center" vertical="justify"/>
    </xf>
    <xf numFmtId="0" fontId="7" fillId="40" borderId="0" xfId="0" applyFont="1" applyFill="1" applyBorder="1" applyAlignment="1">
      <alignment vertical="center"/>
    </xf>
    <xf numFmtId="0" fontId="7" fillId="40" borderId="0" xfId="81" applyFont="1" applyFill="1" applyBorder="1" applyAlignment="1">
      <alignment vertical="center" wrapText="1"/>
    </xf>
    <xf numFmtId="0" fontId="7" fillId="40" borderId="0" xfId="81" applyFont="1" applyFill="1" applyBorder="1" applyAlignment="1">
      <alignment vertical="center"/>
    </xf>
    <xf numFmtId="0" fontId="7" fillId="40" borderId="0" xfId="81" applyFont="1" applyFill="1" applyBorder="1" applyAlignment="1">
      <alignment horizontal="center" vertical="center" wrapText="1"/>
    </xf>
    <xf numFmtId="0" fontId="7" fillId="40" borderId="0" xfId="81" applyFont="1" applyFill="1" applyBorder="1" applyAlignment="1">
      <alignment horizontal="center" vertical="justify"/>
    </xf>
    <xf numFmtId="3" fontId="7" fillId="40" borderId="0" xfId="0" applyNumberFormat="1" applyFont="1" applyFill="1" applyBorder="1" applyAlignment="1">
      <alignment horizontal="center" vertical="justify"/>
    </xf>
    <xf numFmtId="0" fontId="6" fillId="41" borderId="1" xfId="0" applyFont="1" applyFill="1" applyBorder="1" applyAlignment="1">
      <alignment horizontal="center" vertical="center" wrapText="1"/>
    </xf>
    <xf numFmtId="0" fontId="6" fillId="41" borderId="2" xfId="0" applyFont="1" applyFill="1" applyBorder="1" applyAlignment="1">
      <alignment horizontal="center" vertical="center" wrapText="1"/>
    </xf>
    <xf numFmtId="3" fontId="7" fillId="41" borderId="3" xfId="0" applyNumberFormat="1" applyFont="1" applyFill="1" applyBorder="1" applyAlignment="1">
      <alignment horizontal="center" vertical="center" wrapText="1"/>
    </xf>
    <xf numFmtId="3" fontId="7" fillId="41" borderId="2" xfId="0" applyNumberFormat="1" applyFont="1" applyFill="1" applyBorder="1" applyAlignment="1" applyProtection="1">
      <alignment horizontal="center" vertical="center" wrapText="1"/>
      <protection locked="0"/>
    </xf>
    <xf numFmtId="10" fontId="7" fillId="41" borderId="2" xfId="0" applyNumberFormat="1" applyFont="1" applyFill="1" applyBorder="1" applyAlignment="1" applyProtection="1">
      <alignment horizontal="center" vertical="center" wrapText="1"/>
      <protection locked="0"/>
    </xf>
    <xf numFmtId="3" fontId="7" fillId="41" borderId="1" xfId="0" applyNumberFormat="1" applyFont="1" applyFill="1" applyBorder="1" applyAlignment="1" applyProtection="1">
      <alignment horizontal="center" vertical="center" wrapText="1"/>
      <protection locked="0"/>
    </xf>
    <xf numFmtId="0" fontId="8" fillId="41" borderId="1" xfId="0" applyFont="1" applyFill="1" applyBorder="1" applyAlignment="1">
      <alignment horizontal="center"/>
    </xf>
    <xf numFmtId="3" fontId="7" fillId="41" borderId="1" xfId="0" applyNumberFormat="1" applyFont="1" applyFill="1" applyBorder="1" applyAlignment="1" applyProtection="1">
      <alignment horizontal="center" vertical="center"/>
      <protection locked="0"/>
    </xf>
    <xf numFmtId="4" fontId="7" fillId="41" borderId="2" xfId="0" applyNumberFormat="1" applyFont="1" applyFill="1" applyBorder="1" applyAlignment="1" applyProtection="1">
      <alignment horizontal="center" vertical="center" wrapText="1"/>
      <protection locked="0"/>
    </xf>
    <xf numFmtId="10" fontId="7" fillId="41" borderId="1" xfId="0" applyNumberFormat="1" applyFont="1" applyFill="1" applyBorder="1" applyAlignment="1" applyProtection="1">
      <alignment horizontal="center" vertical="center" wrapText="1"/>
      <protection locked="0"/>
    </xf>
    <xf numFmtId="3" fontId="6" fillId="41" borderId="1" xfId="0" applyNumberFormat="1" applyFont="1" applyFill="1" applyBorder="1" applyAlignment="1">
      <alignment horizontal="center" vertical="center" wrapText="1"/>
    </xf>
    <xf numFmtId="3" fontId="8" fillId="41" borderId="1" xfId="0" applyNumberFormat="1" applyFont="1" applyFill="1" applyBorder="1" applyAlignment="1">
      <alignment horizontal="center"/>
    </xf>
    <xf numFmtId="3" fontId="9" fillId="41" borderId="1" xfId="0" applyNumberFormat="1" applyFont="1" applyFill="1" applyBorder="1" applyAlignment="1" applyProtection="1">
      <alignment horizontal="center" vertical="center"/>
      <protection locked="0"/>
    </xf>
    <xf numFmtId="10" fontId="7" fillId="41" borderId="1" xfId="185" applyNumberFormat="1" applyFont="1" applyFill="1" applyBorder="1" applyAlignment="1" applyProtection="1">
      <alignment horizontal="center" vertical="center" wrapText="1"/>
      <protection locked="0"/>
    </xf>
    <xf numFmtId="168" fontId="8" fillId="2" borderId="3" xfId="0" applyNumberFormat="1" applyFont="1" applyFill="1" applyBorder="1" applyAlignment="1">
      <alignment horizontal="left"/>
    </xf>
    <xf numFmtId="41" fontId="8" fillId="2" borderId="10" xfId="195" applyFont="1" applyFill="1" applyBorder="1" applyAlignment="1">
      <alignment horizontal="center" vertical="center"/>
    </xf>
    <xf numFmtId="41" fontId="8" fillId="2" borderId="10" xfId="195" applyFont="1" applyFill="1" applyBorder="1" applyAlignment="1">
      <alignment horizontal="left"/>
    </xf>
    <xf numFmtId="41" fontId="8" fillId="2" borderId="10" xfId="195" applyFont="1" applyFill="1" applyBorder="1" applyAlignment="1" applyProtection="1">
      <alignment horizontal="left"/>
      <protection locked="0"/>
    </xf>
    <xf numFmtId="15" fontId="8" fillId="2" borderId="3" xfId="0" applyNumberFormat="1" applyFont="1" applyFill="1" applyBorder="1" applyAlignment="1">
      <alignment horizontal="center" vertical="center"/>
    </xf>
    <xf numFmtId="0" fontId="12" fillId="2" borderId="3" xfId="0" applyFont="1" applyFill="1" applyBorder="1" applyAlignment="1">
      <alignment horizontal="left"/>
    </xf>
    <xf numFmtId="14" fontId="8" fillId="2" borderId="7" xfId="0" applyNumberFormat="1" applyFont="1" applyFill="1" applyBorder="1" applyAlignment="1">
      <alignment horizontal="center"/>
    </xf>
    <xf numFmtId="14" fontId="8" fillId="2" borderId="5" xfId="0" applyNumberFormat="1" applyFont="1" applyFill="1" applyBorder="1" applyAlignment="1">
      <alignment horizontal="center"/>
    </xf>
    <xf numFmtId="15" fontId="8" fillId="36" borderId="8" xfId="0" applyNumberFormat="1" applyFont="1" applyFill="1" applyBorder="1" applyAlignment="1">
      <alignment horizontal="center"/>
    </xf>
    <xf numFmtId="14" fontId="8" fillId="2" borderId="11" xfId="0" applyNumberFormat="1" applyFont="1" applyFill="1" applyBorder="1" applyAlignment="1">
      <alignment horizontal="center"/>
    </xf>
    <xf numFmtId="14" fontId="8" fillId="2" borderId="6" xfId="0" applyNumberFormat="1" applyFont="1" applyFill="1" applyBorder="1" applyAlignment="1">
      <alignment horizontal="center"/>
    </xf>
    <xf numFmtId="0" fontId="12" fillId="36" borderId="8" xfId="0" applyFont="1" applyFill="1" applyBorder="1" applyAlignment="1">
      <alignment horizontal="left"/>
    </xf>
    <xf numFmtId="0" fontId="8" fillId="0" borderId="8" xfId="0" applyFont="1" applyBorder="1"/>
    <xf numFmtId="0" fontId="37" fillId="36" borderId="8" xfId="0" applyFont="1" applyFill="1" applyBorder="1" applyAlignment="1">
      <alignment horizontal="left"/>
    </xf>
    <xf numFmtId="41" fontId="8" fillId="2" borderId="10" xfId="195" applyFont="1" applyFill="1" applyBorder="1"/>
    <xf numFmtId="41" fontId="8" fillId="2" borderId="10" xfId="195" applyFont="1" applyFill="1" applyBorder="1" applyAlignment="1">
      <alignment horizontal="right" vertical="center"/>
    </xf>
    <xf numFmtId="41" fontId="8" fillId="2" borderId="10" xfId="195" applyFont="1" applyFill="1" applyBorder="1" applyProtection="1">
      <protection locked="0"/>
    </xf>
    <xf numFmtId="4" fontId="8" fillId="2" borderId="7" xfId="0" applyNumberFormat="1" applyFont="1" applyFill="1" applyBorder="1" applyProtection="1">
      <protection locked="0"/>
    </xf>
    <xf numFmtId="0" fontId="8" fillId="36" borderId="8" xfId="0" applyFont="1" applyFill="1" applyBorder="1" applyAlignment="1">
      <alignment horizontal="center" vertical="center"/>
    </xf>
    <xf numFmtId="169" fontId="8" fillId="2" borderId="10" xfId="75" applyNumberFormat="1" applyFont="1" applyFill="1" applyBorder="1" applyAlignment="1">
      <alignment horizontal="center"/>
    </xf>
    <xf numFmtId="0" fontId="8" fillId="2" borderId="0" xfId="0" applyFont="1" applyFill="1" applyBorder="1" applyAlignment="1">
      <alignment horizontal="left"/>
    </xf>
    <xf numFmtId="0" fontId="0" fillId="0" borderId="3" xfId="0" applyBorder="1"/>
    <xf numFmtId="3" fontId="8" fillId="36" borderId="14" xfId="0" applyNumberFormat="1" applyFont="1" applyFill="1" applyBorder="1" applyProtection="1">
      <protection locked="0"/>
    </xf>
    <xf numFmtId="170" fontId="8" fillId="0" borderId="0" xfId="0" applyNumberFormat="1" applyFont="1"/>
    <xf numFmtId="0" fontId="8" fillId="2" borderId="10" xfId="0" applyFont="1" applyFill="1" applyBorder="1" applyAlignment="1">
      <alignment horizontal="center" vertical="center"/>
    </xf>
    <xf numFmtId="171" fontId="12" fillId="2" borderId="3" xfId="0" applyNumberFormat="1" applyFont="1" applyFill="1" applyBorder="1"/>
    <xf numFmtId="15" fontId="8" fillId="2" borderId="0" xfId="0" applyNumberFormat="1" applyFont="1" applyFill="1" applyBorder="1" applyAlignment="1">
      <alignment horizontal="center"/>
    </xf>
    <xf numFmtId="15" fontId="8" fillId="36" borderId="11" xfId="0" applyNumberFormat="1" applyFont="1" applyFill="1" applyBorder="1" applyAlignment="1">
      <alignment horizontal="center"/>
    </xf>
    <xf numFmtId="0" fontId="8" fillId="36" borderId="4" xfId="0" applyFont="1" applyFill="1" applyBorder="1"/>
    <xf numFmtId="0" fontId="8" fillId="36" borderId="6" xfId="0" applyFont="1" applyFill="1" applyBorder="1" applyAlignment="1">
      <alignment horizontal="center"/>
    </xf>
    <xf numFmtId="0" fontId="12" fillId="36" borderId="11" xfId="0" applyFont="1" applyFill="1" applyBorder="1" applyAlignment="1">
      <alignment horizontal="left"/>
    </xf>
    <xf numFmtId="0" fontId="8" fillId="36" borderId="11" xfId="0" applyFont="1" applyFill="1" applyBorder="1" applyAlignment="1">
      <alignment horizontal="center"/>
    </xf>
    <xf numFmtId="0" fontId="8" fillId="36" borderId="11" xfId="0" applyFont="1" applyFill="1" applyBorder="1" applyAlignment="1">
      <alignment horizontal="left"/>
    </xf>
    <xf numFmtId="3" fontId="8" fillId="2" borderId="8" xfId="0" applyNumberFormat="1" applyFont="1" applyFill="1" applyBorder="1" applyAlignment="1" applyProtection="1">
      <alignment horizontal="right" vertical="center"/>
      <protection locked="0"/>
    </xf>
    <xf numFmtId="14" fontId="8" fillId="0" borderId="0" xfId="0" applyNumberFormat="1" applyFont="1"/>
    <xf numFmtId="41" fontId="8" fillId="2" borderId="10" xfId="195" applyFont="1" applyFill="1" applyBorder="1" applyAlignment="1">
      <alignment horizontal="left" vertical="center"/>
    </xf>
    <xf numFmtId="0" fontId="1" fillId="0" borderId="0" xfId="216"/>
    <xf numFmtId="14" fontId="8" fillId="2" borderId="10" xfId="0" applyNumberFormat="1" applyFont="1" applyFill="1" applyBorder="1" applyAlignment="1">
      <alignment horizontal="center"/>
    </xf>
    <xf numFmtId="14" fontId="8" fillId="2" borderId="8" xfId="0" applyNumberFormat="1" applyFont="1" applyFill="1" applyBorder="1" applyAlignment="1">
      <alignment horizontal="left"/>
    </xf>
    <xf numFmtId="0" fontId="8" fillId="36" borderId="14" xfId="0" applyFont="1" applyFill="1" applyBorder="1" applyAlignment="1">
      <alignment horizontal="center"/>
    </xf>
    <xf numFmtId="15" fontId="8" fillId="36" borderId="8" xfId="0" applyNumberFormat="1" applyFont="1" applyFill="1" applyBorder="1"/>
    <xf numFmtId="0" fontId="8" fillId="2" borderId="0" xfId="0" applyFont="1" applyFill="1" applyBorder="1" applyAlignment="1">
      <alignment horizontal="left" vertical="center"/>
    </xf>
    <xf numFmtId="4" fontId="8" fillId="36" borderId="14" xfId="0" applyNumberFormat="1" applyFont="1" applyFill="1" applyBorder="1"/>
    <xf numFmtId="0" fontId="8" fillId="2" borderId="8" xfId="0" applyFont="1" applyFill="1" applyBorder="1" applyAlignment="1">
      <alignment vertical="center"/>
    </xf>
    <xf numFmtId="41" fontId="12" fillId="0" borderId="0" xfId="195" applyFont="1"/>
    <xf numFmtId="4" fontId="12" fillId="2" borderId="0" xfId="0" applyNumberFormat="1" applyFont="1" applyFill="1"/>
    <xf numFmtId="0" fontId="7" fillId="2" borderId="13" xfId="0" applyFont="1" applyFill="1" applyBorder="1" applyAlignment="1">
      <alignment horizontal="right"/>
    </xf>
    <xf numFmtId="0" fontId="7" fillId="2" borderId="15" xfId="0" applyFont="1" applyFill="1" applyBorder="1" applyAlignment="1">
      <alignment horizontal="right"/>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left" vertical="center"/>
    </xf>
    <xf numFmtId="3" fontId="7" fillId="2" borderId="2"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cellXfs>
  <cellStyles count="236">
    <cellStyle name="20% - Énfasis1" xfId="1" builtinId="30" customBuiltin="1"/>
    <cellStyle name="20% - Énfasis1 2" xfId="2" xr:uid="{00000000-0005-0000-0000-000001000000}"/>
    <cellStyle name="20% - Énfasis1 3" xfId="3" xr:uid="{00000000-0005-0000-0000-000002000000}"/>
    <cellStyle name="20% - Énfasis1 4" xfId="4" xr:uid="{00000000-0005-0000-0000-000003000000}"/>
    <cellStyle name="20% - Énfasis1 5" xfId="198" xr:uid="{00000000-0005-0000-0000-000004000000}"/>
    <cellStyle name="20% - Énfasis1 6" xfId="218" xr:uid="{00000000-0005-0000-0000-000005000000}"/>
    <cellStyle name="20% - Énfasis2" xfId="5" builtinId="34" customBuiltin="1"/>
    <cellStyle name="20% - Énfasis2 2" xfId="6" xr:uid="{00000000-0005-0000-0000-000007000000}"/>
    <cellStyle name="20% - Énfasis2 3" xfId="7" xr:uid="{00000000-0005-0000-0000-000008000000}"/>
    <cellStyle name="20% - Énfasis2 4" xfId="8" xr:uid="{00000000-0005-0000-0000-000009000000}"/>
    <cellStyle name="20% - Énfasis2 5" xfId="201" xr:uid="{00000000-0005-0000-0000-00000A000000}"/>
    <cellStyle name="20% - Énfasis2 6" xfId="221" xr:uid="{00000000-0005-0000-0000-00000B000000}"/>
    <cellStyle name="20% - Énfasis3" xfId="9" builtinId="38" customBuiltin="1"/>
    <cellStyle name="20% - Énfasis3 2" xfId="10" xr:uid="{00000000-0005-0000-0000-00000D000000}"/>
    <cellStyle name="20% - Énfasis3 3" xfId="11" xr:uid="{00000000-0005-0000-0000-00000E000000}"/>
    <cellStyle name="20% - Énfasis3 4" xfId="12" xr:uid="{00000000-0005-0000-0000-00000F000000}"/>
    <cellStyle name="20% - Énfasis3 5" xfId="204" xr:uid="{00000000-0005-0000-0000-000010000000}"/>
    <cellStyle name="20% - Énfasis3 6" xfId="224" xr:uid="{00000000-0005-0000-0000-000011000000}"/>
    <cellStyle name="20% - Énfasis4" xfId="13" builtinId="42" customBuiltin="1"/>
    <cellStyle name="20% - Énfasis4 2" xfId="14" xr:uid="{00000000-0005-0000-0000-000013000000}"/>
    <cellStyle name="20% - Énfasis4 3" xfId="15" xr:uid="{00000000-0005-0000-0000-000014000000}"/>
    <cellStyle name="20% - Énfasis4 4" xfId="16" xr:uid="{00000000-0005-0000-0000-000015000000}"/>
    <cellStyle name="20% - Énfasis4 5" xfId="207" xr:uid="{00000000-0005-0000-0000-000016000000}"/>
    <cellStyle name="20% - Énfasis4 6" xfId="227" xr:uid="{00000000-0005-0000-0000-000017000000}"/>
    <cellStyle name="20% - Énfasis5" xfId="17" builtinId="46" customBuiltin="1"/>
    <cellStyle name="20% - Énfasis5 2" xfId="18" xr:uid="{00000000-0005-0000-0000-000019000000}"/>
    <cellStyle name="20% - Énfasis5 3" xfId="19" xr:uid="{00000000-0005-0000-0000-00001A000000}"/>
    <cellStyle name="20% - Énfasis5 4" xfId="20" xr:uid="{00000000-0005-0000-0000-00001B000000}"/>
    <cellStyle name="20% - Énfasis5 5" xfId="210" xr:uid="{00000000-0005-0000-0000-00001C000000}"/>
    <cellStyle name="20% - Énfasis5 6" xfId="230" xr:uid="{00000000-0005-0000-0000-00001D000000}"/>
    <cellStyle name="20% - Énfasis6" xfId="21" builtinId="50" customBuiltin="1"/>
    <cellStyle name="20% - Énfasis6 2" xfId="22" xr:uid="{00000000-0005-0000-0000-00001F000000}"/>
    <cellStyle name="20% - Énfasis6 3" xfId="23" xr:uid="{00000000-0005-0000-0000-000020000000}"/>
    <cellStyle name="20% - Énfasis6 4" xfId="24" xr:uid="{00000000-0005-0000-0000-000021000000}"/>
    <cellStyle name="20% - Énfasis6 5" xfId="213" xr:uid="{00000000-0005-0000-0000-000022000000}"/>
    <cellStyle name="20% - Énfasis6 6" xfId="233" xr:uid="{00000000-0005-0000-0000-000023000000}"/>
    <cellStyle name="40% - Énfasis1" xfId="25" builtinId="31" customBuiltin="1"/>
    <cellStyle name="40% - Énfasis1 2" xfId="26" xr:uid="{00000000-0005-0000-0000-000025000000}"/>
    <cellStyle name="40% - Énfasis1 3" xfId="27" xr:uid="{00000000-0005-0000-0000-000026000000}"/>
    <cellStyle name="40% - Énfasis1 4" xfId="28" xr:uid="{00000000-0005-0000-0000-000027000000}"/>
    <cellStyle name="40% - Énfasis1 5" xfId="199" xr:uid="{00000000-0005-0000-0000-000028000000}"/>
    <cellStyle name="40% - Énfasis1 6" xfId="219" xr:uid="{00000000-0005-0000-0000-000029000000}"/>
    <cellStyle name="40% - Énfasis2" xfId="29" builtinId="35" customBuiltin="1"/>
    <cellStyle name="40% - Énfasis2 2" xfId="30" xr:uid="{00000000-0005-0000-0000-00002B000000}"/>
    <cellStyle name="40% - Énfasis2 3" xfId="31" xr:uid="{00000000-0005-0000-0000-00002C000000}"/>
    <cellStyle name="40% - Énfasis2 4" xfId="32" xr:uid="{00000000-0005-0000-0000-00002D000000}"/>
    <cellStyle name="40% - Énfasis2 5" xfId="202" xr:uid="{00000000-0005-0000-0000-00002E000000}"/>
    <cellStyle name="40% - Énfasis2 6" xfId="222" xr:uid="{00000000-0005-0000-0000-00002F000000}"/>
    <cellStyle name="40% - Énfasis3" xfId="33" builtinId="39" customBuiltin="1"/>
    <cellStyle name="40% - Énfasis3 2" xfId="34" xr:uid="{00000000-0005-0000-0000-000031000000}"/>
    <cellStyle name="40% - Énfasis3 3" xfId="35" xr:uid="{00000000-0005-0000-0000-000032000000}"/>
    <cellStyle name="40% - Énfasis3 4" xfId="36" xr:uid="{00000000-0005-0000-0000-000033000000}"/>
    <cellStyle name="40% - Énfasis3 5" xfId="205" xr:uid="{00000000-0005-0000-0000-000034000000}"/>
    <cellStyle name="40% - Énfasis3 6" xfId="225" xr:uid="{00000000-0005-0000-0000-000035000000}"/>
    <cellStyle name="40% - Énfasis4" xfId="37" builtinId="43" customBuiltin="1"/>
    <cellStyle name="40% - Énfasis4 2" xfId="38" xr:uid="{00000000-0005-0000-0000-000037000000}"/>
    <cellStyle name="40% - Énfasis4 3" xfId="39" xr:uid="{00000000-0005-0000-0000-000038000000}"/>
    <cellStyle name="40% - Énfasis4 4" xfId="40" xr:uid="{00000000-0005-0000-0000-000039000000}"/>
    <cellStyle name="40% - Énfasis4 5" xfId="208" xr:uid="{00000000-0005-0000-0000-00003A000000}"/>
    <cellStyle name="40% - Énfasis4 6" xfId="228" xr:uid="{00000000-0005-0000-0000-00003B000000}"/>
    <cellStyle name="40% - Énfasis5" xfId="41" builtinId="47" customBuiltin="1"/>
    <cellStyle name="40% - Énfasis5 2" xfId="42" xr:uid="{00000000-0005-0000-0000-00003D000000}"/>
    <cellStyle name="40% - Énfasis5 3" xfId="43" xr:uid="{00000000-0005-0000-0000-00003E000000}"/>
    <cellStyle name="40% - Énfasis5 4" xfId="44" xr:uid="{00000000-0005-0000-0000-00003F000000}"/>
    <cellStyle name="40% - Énfasis5 5" xfId="211" xr:uid="{00000000-0005-0000-0000-000040000000}"/>
    <cellStyle name="40% - Énfasis5 6" xfId="231" xr:uid="{00000000-0005-0000-0000-000041000000}"/>
    <cellStyle name="40% - Énfasis6" xfId="45" builtinId="51" customBuiltin="1"/>
    <cellStyle name="40% - Énfasis6 2" xfId="46" xr:uid="{00000000-0005-0000-0000-000043000000}"/>
    <cellStyle name="40% - Énfasis6 3" xfId="47" xr:uid="{00000000-0005-0000-0000-000044000000}"/>
    <cellStyle name="40% - Énfasis6 4" xfId="48" xr:uid="{00000000-0005-0000-0000-000045000000}"/>
    <cellStyle name="40% - Énfasis6 5" xfId="214" xr:uid="{00000000-0005-0000-0000-000046000000}"/>
    <cellStyle name="40% - Énfasis6 6" xfId="234" xr:uid="{00000000-0005-0000-0000-000047000000}"/>
    <cellStyle name="60% - Énfasis1" xfId="49" builtinId="32" customBuiltin="1"/>
    <cellStyle name="60% - Énfasis1 2" xfId="50" xr:uid="{00000000-0005-0000-0000-000049000000}"/>
    <cellStyle name="60% - Énfasis1 3" xfId="200" xr:uid="{00000000-0005-0000-0000-00004A000000}"/>
    <cellStyle name="60% - Énfasis1 4" xfId="220" xr:uid="{00000000-0005-0000-0000-00004B000000}"/>
    <cellStyle name="60% - Énfasis2" xfId="51" builtinId="36" customBuiltin="1"/>
    <cellStyle name="60% - Énfasis2 2" xfId="52" xr:uid="{00000000-0005-0000-0000-00004D000000}"/>
    <cellStyle name="60% - Énfasis2 3" xfId="203" xr:uid="{00000000-0005-0000-0000-00004E000000}"/>
    <cellStyle name="60% - Énfasis2 4" xfId="223" xr:uid="{00000000-0005-0000-0000-00004F000000}"/>
    <cellStyle name="60% - Énfasis3" xfId="53" builtinId="40" customBuiltin="1"/>
    <cellStyle name="60% - Énfasis3 2" xfId="54" xr:uid="{00000000-0005-0000-0000-000051000000}"/>
    <cellStyle name="60% - Énfasis3 3" xfId="206" xr:uid="{00000000-0005-0000-0000-000052000000}"/>
    <cellStyle name="60% - Énfasis3 4" xfId="226" xr:uid="{00000000-0005-0000-0000-000053000000}"/>
    <cellStyle name="60% - Énfasis4" xfId="55" builtinId="44" customBuiltin="1"/>
    <cellStyle name="60% - Énfasis4 2" xfId="56" xr:uid="{00000000-0005-0000-0000-000055000000}"/>
    <cellStyle name="60% - Énfasis4 3" xfId="209" xr:uid="{00000000-0005-0000-0000-000056000000}"/>
    <cellStyle name="60% - Énfasis4 4" xfId="229" xr:uid="{00000000-0005-0000-0000-000057000000}"/>
    <cellStyle name="60% - Énfasis5" xfId="57" builtinId="48" customBuiltin="1"/>
    <cellStyle name="60% - Énfasis5 2" xfId="58" xr:uid="{00000000-0005-0000-0000-000059000000}"/>
    <cellStyle name="60% - Énfasis5 3" xfId="212" xr:uid="{00000000-0005-0000-0000-00005A000000}"/>
    <cellStyle name="60% - Énfasis5 4" xfId="232" xr:uid="{00000000-0005-0000-0000-00005B000000}"/>
    <cellStyle name="60% - Énfasis6" xfId="59" builtinId="52" customBuiltin="1"/>
    <cellStyle name="60% - Énfasis6 2" xfId="60" xr:uid="{00000000-0005-0000-0000-00005D000000}"/>
    <cellStyle name="60% - Énfasis6 3" xfId="215" xr:uid="{00000000-0005-0000-0000-00005E000000}"/>
    <cellStyle name="60% - Énfasis6 4" xfId="235" xr:uid="{00000000-0005-0000-0000-00005F000000}"/>
    <cellStyle name="Bueno" xfId="61" builtinId="26" customBuiltin="1"/>
    <cellStyle name="Cálculo" xfId="62" builtinId="22" customBuiltin="1"/>
    <cellStyle name="Celda de comprobación" xfId="63" builtinId="23" customBuiltin="1"/>
    <cellStyle name="Celda vinculada" xfId="64" builtinId="24" customBuiltin="1"/>
    <cellStyle name="Encabezado 1" xfId="65" builtinId="16" customBuiltin="1"/>
    <cellStyle name="Encabezado 4" xfId="66" builtinId="19" customBuiltin="1"/>
    <cellStyle name="Énfasis1" xfId="67" builtinId="29" customBuiltin="1"/>
    <cellStyle name="Énfasis2" xfId="68" builtinId="33" customBuiltin="1"/>
    <cellStyle name="Énfasis3" xfId="69" builtinId="37" customBuiltin="1"/>
    <cellStyle name="Énfasis4" xfId="70" builtinId="41" customBuiltin="1"/>
    <cellStyle name="Énfasis5" xfId="71" builtinId="45" customBuiltin="1"/>
    <cellStyle name="Énfasis6" xfId="72" builtinId="49" customBuiltin="1"/>
    <cellStyle name="Entrada" xfId="73" builtinId="20" customBuiltin="1"/>
    <cellStyle name="Incorrecto" xfId="74" builtinId="27" customBuiltin="1"/>
    <cellStyle name="Millares" xfId="75" builtinId="3"/>
    <cellStyle name="Millares [0]" xfId="195" builtinId="6"/>
    <cellStyle name="Millares 2" xfId="76" xr:uid="{00000000-0005-0000-0000-000070000000}"/>
    <cellStyle name="Neutral" xfId="77" builtinId="28" customBuiltin="1"/>
    <cellStyle name="Neutral 2" xfId="78" xr:uid="{00000000-0005-0000-0000-000072000000}"/>
    <cellStyle name="Normal" xfId="0" builtinId="0"/>
    <cellStyle name="Normal 10" xfId="79" xr:uid="{00000000-0005-0000-0000-000074000000}"/>
    <cellStyle name="Normal 10 2" xfId="80" xr:uid="{00000000-0005-0000-0000-000075000000}"/>
    <cellStyle name="Normal 11" xfId="81" xr:uid="{00000000-0005-0000-0000-000076000000}"/>
    <cellStyle name="Normal 12" xfId="82" xr:uid="{00000000-0005-0000-0000-000077000000}"/>
    <cellStyle name="Normal 12 2" xfId="83" xr:uid="{00000000-0005-0000-0000-000078000000}"/>
    <cellStyle name="Normal 13" xfId="84" xr:uid="{00000000-0005-0000-0000-000079000000}"/>
    <cellStyle name="Normal 13 2" xfId="85" xr:uid="{00000000-0005-0000-0000-00007A000000}"/>
    <cellStyle name="Normal 13 2 2" xfId="86" xr:uid="{00000000-0005-0000-0000-00007B000000}"/>
    <cellStyle name="Normal 13 3" xfId="87" xr:uid="{00000000-0005-0000-0000-00007C000000}"/>
    <cellStyle name="Normal 14" xfId="88" xr:uid="{00000000-0005-0000-0000-00007D000000}"/>
    <cellStyle name="Normal 14 2" xfId="89" xr:uid="{00000000-0005-0000-0000-00007E000000}"/>
    <cellStyle name="Normal 15" xfId="90" xr:uid="{00000000-0005-0000-0000-00007F000000}"/>
    <cellStyle name="Normal 15 2" xfId="91" xr:uid="{00000000-0005-0000-0000-000080000000}"/>
    <cellStyle name="Normal 16" xfId="92" xr:uid="{00000000-0005-0000-0000-000081000000}"/>
    <cellStyle name="Normal 16 2" xfId="93" xr:uid="{00000000-0005-0000-0000-000082000000}"/>
    <cellStyle name="Normal 17" xfId="94" xr:uid="{00000000-0005-0000-0000-000083000000}"/>
    <cellStyle name="Normal 17 2" xfId="95" xr:uid="{00000000-0005-0000-0000-000084000000}"/>
    <cellStyle name="Normal 18" xfId="96" xr:uid="{00000000-0005-0000-0000-000085000000}"/>
    <cellStyle name="Normal 18 2" xfId="97" xr:uid="{00000000-0005-0000-0000-000086000000}"/>
    <cellStyle name="Normal 19" xfId="98" xr:uid="{00000000-0005-0000-0000-000087000000}"/>
    <cellStyle name="Normal 19 2" xfId="99" xr:uid="{00000000-0005-0000-0000-000088000000}"/>
    <cellStyle name="Normal 2" xfId="100" xr:uid="{00000000-0005-0000-0000-000089000000}"/>
    <cellStyle name="Normal 2 2" xfId="101" xr:uid="{00000000-0005-0000-0000-00008A000000}"/>
    <cellStyle name="Normal 2 2 2" xfId="102" xr:uid="{00000000-0005-0000-0000-00008B000000}"/>
    <cellStyle name="Normal 2 3" xfId="103" xr:uid="{00000000-0005-0000-0000-00008C000000}"/>
    <cellStyle name="Normal 20" xfId="104" xr:uid="{00000000-0005-0000-0000-00008D000000}"/>
    <cellStyle name="Normal 20 2" xfId="105" xr:uid="{00000000-0005-0000-0000-00008E000000}"/>
    <cellStyle name="Normal 21" xfId="106" xr:uid="{00000000-0005-0000-0000-00008F000000}"/>
    <cellStyle name="Normal 21 2" xfId="107" xr:uid="{00000000-0005-0000-0000-000090000000}"/>
    <cellStyle name="Normal 22" xfId="108" xr:uid="{00000000-0005-0000-0000-000091000000}"/>
    <cellStyle name="Normal 22 2" xfId="109" xr:uid="{00000000-0005-0000-0000-000092000000}"/>
    <cellStyle name="Normal 23" xfId="110" xr:uid="{00000000-0005-0000-0000-000093000000}"/>
    <cellStyle name="Normal 23 2" xfId="111" xr:uid="{00000000-0005-0000-0000-000094000000}"/>
    <cellStyle name="Normal 24" xfId="112" xr:uid="{00000000-0005-0000-0000-000095000000}"/>
    <cellStyle name="Normal 24 2" xfId="113" xr:uid="{00000000-0005-0000-0000-000096000000}"/>
    <cellStyle name="Normal 25" xfId="114" xr:uid="{00000000-0005-0000-0000-000097000000}"/>
    <cellStyle name="Normal 25 2" xfId="115" xr:uid="{00000000-0005-0000-0000-000098000000}"/>
    <cellStyle name="Normal 26" xfId="116" xr:uid="{00000000-0005-0000-0000-000099000000}"/>
    <cellStyle name="Normal 26 2" xfId="117" xr:uid="{00000000-0005-0000-0000-00009A000000}"/>
    <cellStyle name="Normal 27" xfId="118" xr:uid="{00000000-0005-0000-0000-00009B000000}"/>
    <cellStyle name="Normal 27 2" xfId="119" xr:uid="{00000000-0005-0000-0000-00009C000000}"/>
    <cellStyle name="Normal 28" xfId="120" xr:uid="{00000000-0005-0000-0000-00009D000000}"/>
    <cellStyle name="Normal 28 2" xfId="121" xr:uid="{00000000-0005-0000-0000-00009E000000}"/>
    <cellStyle name="Normal 29" xfId="122" xr:uid="{00000000-0005-0000-0000-00009F000000}"/>
    <cellStyle name="Normal 29 2" xfId="123" xr:uid="{00000000-0005-0000-0000-0000A0000000}"/>
    <cellStyle name="Normal 3" xfId="124" xr:uid="{00000000-0005-0000-0000-0000A1000000}"/>
    <cellStyle name="Normal 3 2" xfId="125" xr:uid="{00000000-0005-0000-0000-0000A2000000}"/>
    <cellStyle name="Normal 3 2 2" xfId="126" xr:uid="{00000000-0005-0000-0000-0000A3000000}"/>
    <cellStyle name="Normal 3 3" xfId="127" xr:uid="{00000000-0005-0000-0000-0000A4000000}"/>
    <cellStyle name="Normal 30" xfId="128" xr:uid="{00000000-0005-0000-0000-0000A5000000}"/>
    <cellStyle name="Normal 30 2" xfId="129" xr:uid="{00000000-0005-0000-0000-0000A6000000}"/>
    <cellStyle name="Normal 31" xfId="130" xr:uid="{00000000-0005-0000-0000-0000A7000000}"/>
    <cellStyle name="Normal 31 2" xfId="131" xr:uid="{00000000-0005-0000-0000-0000A8000000}"/>
    <cellStyle name="Normal 32" xfId="132" xr:uid="{00000000-0005-0000-0000-0000A9000000}"/>
    <cellStyle name="Normal 32 2" xfId="133" xr:uid="{00000000-0005-0000-0000-0000AA000000}"/>
    <cellStyle name="Normal 33" xfId="134" xr:uid="{00000000-0005-0000-0000-0000AB000000}"/>
    <cellStyle name="Normal 33 2" xfId="135" xr:uid="{00000000-0005-0000-0000-0000AC000000}"/>
    <cellStyle name="Normal 34" xfId="136" xr:uid="{00000000-0005-0000-0000-0000AD000000}"/>
    <cellStyle name="Normal 34 2" xfId="137" xr:uid="{00000000-0005-0000-0000-0000AE000000}"/>
    <cellStyle name="Normal 35" xfId="138" xr:uid="{00000000-0005-0000-0000-0000AF000000}"/>
    <cellStyle name="Normal 35 2" xfId="139" xr:uid="{00000000-0005-0000-0000-0000B0000000}"/>
    <cellStyle name="Normal 36" xfId="140" xr:uid="{00000000-0005-0000-0000-0000B1000000}"/>
    <cellStyle name="Normal 36 2" xfId="141" xr:uid="{00000000-0005-0000-0000-0000B2000000}"/>
    <cellStyle name="Normal 37" xfId="142" xr:uid="{00000000-0005-0000-0000-0000B3000000}"/>
    <cellStyle name="Normal 37 2" xfId="143" xr:uid="{00000000-0005-0000-0000-0000B4000000}"/>
    <cellStyle name="Normal 38" xfId="144" xr:uid="{00000000-0005-0000-0000-0000B5000000}"/>
    <cellStyle name="Normal 38 2" xfId="145" xr:uid="{00000000-0005-0000-0000-0000B6000000}"/>
    <cellStyle name="Normal 39" xfId="146" xr:uid="{00000000-0005-0000-0000-0000B7000000}"/>
    <cellStyle name="Normal 4" xfId="147" xr:uid="{00000000-0005-0000-0000-0000B8000000}"/>
    <cellStyle name="Normal 4 2" xfId="148" xr:uid="{00000000-0005-0000-0000-0000B9000000}"/>
    <cellStyle name="Normal 4 2 2" xfId="149" xr:uid="{00000000-0005-0000-0000-0000BA000000}"/>
    <cellStyle name="Normal 4 3" xfId="150" xr:uid="{00000000-0005-0000-0000-0000BB000000}"/>
    <cellStyle name="Normal 40" xfId="151" xr:uid="{00000000-0005-0000-0000-0000BC000000}"/>
    <cellStyle name="Normal 41" xfId="152" xr:uid="{00000000-0005-0000-0000-0000BD000000}"/>
    <cellStyle name="Normal 42" xfId="153" xr:uid="{00000000-0005-0000-0000-0000BE000000}"/>
    <cellStyle name="Normal 43" xfId="154" xr:uid="{00000000-0005-0000-0000-0000BF000000}"/>
    <cellStyle name="Normal 44" xfId="155" xr:uid="{00000000-0005-0000-0000-0000C0000000}"/>
    <cellStyle name="Normal 45" xfId="156" xr:uid="{00000000-0005-0000-0000-0000C1000000}"/>
    <cellStyle name="Normal 46" xfId="157" xr:uid="{00000000-0005-0000-0000-0000C2000000}"/>
    <cellStyle name="Normal 47" xfId="158" xr:uid="{00000000-0005-0000-0000-0000C3000000}"/>
    <cellStyle name="Normal 48" xfId="159" xr:uid="{00000000-0005-0000-0000-0000C4000000}"/>
    <cellStyle name="Normal 49" xfId="160" xr:uid="{00000000-0005-0000-0000-0000C5000000}"/>
    <cellStyle name="Normal 5" xfId="161" xr:uid="{00000000-0005-0000-0000-0000C6000000}"/>
    <cellStyle name="Normal 5 2" xfId="162" xr:uid="{00000000-0005-0000-0000-0000C7000000}"/>
    <cellStyle name="Normal 5 2 2" xfId="163" xr:uid="{00000000-0005-0000-0000-0000C8000000}"/>
    <cellStyle name="Normal 5 3" xfId="164" xr:uid="{00000000-0005-0000-0000-0000C9000000}"/>
    <cellStyle name="Normal 50" xfId="196" xr:uid="{00000000-0005-0000-0000-0000CA000000}"/>
    <cellStyle name="Normal 51" xfId="216" xr:uid="{00000000-0005-0000-0000-0000CB000000}"/>
    <cellStyle name="Normal 6" xfId="165" xr:uid="{00000000-0005-0000-0000-0000CC000000}"/>
    <cellStyle name="Normal 6 2" xfId="166" xr:uid="{00000000-0005-0000-0000-0000CD000000}"/>
    <cellStyle name="Normal 6 2 2" xfId="167" xr:uid="{00000000-0005-0000-0000-0000CE000000}"/>
    <cellStyle name="Normal 6 3" xfId="168" xr:uid="{00000000-0005-0000-0000-0000CF000000}"/>
    <cellStyle name="Normal 7" xfId="169" xr:uid="{00000000-0005-0000-0000-0000D0000000}"/>
    <cellStyle name="Normal 7 2" xfId="170" xr:uid="{00000000-0005-0000-0000-0000D1000000}"/>
    <cellStyle name="Normal 7 2 2" xfId="171" xr:uid="{00000000-0005-0000-0000-0000D2000000}"/>
    <cellStyle name="Normal 7 3" xfId="172" xr:uid="{00000000-0005-0000-0000-0000D3000000}"/>
    <cellStyle name="Normal 8" xfId="173" xr:uid="{00000000-0005-0000-0000-0000D4000000}"/>
    <cellStyle name="Normal 8 2" xfId="174" xr:uid="{00000000-0005-0000-0000-0000D5000000}"/>
    <cellStyle name="Normal 8 2 2" xfId="175" xr:uid="{00000000-0005-0000-0000-0000D6000000}"/>
    <cellStyle name="Normal 8 3" xfId="176" xr:uid="{00000000-0005-0000-0000-0000D7000000}"/>
    <cellStyle name="Normal 9" xfId="177" xr:uid="{00000000-0005-0000-0000-0000D8000000}"/>
    <cellStyle name="Normal 9 2" xfId="178" xr:uid="{00000000-0005-0000-0000-0000D9000000}"/>
    <cellStyle name="Normal 9 2 2" xfId="179" xr:uid="{00000000-0005-0000-0000-0000DA000000}"/>
    <cellStyle name="Normal 9 3" xfId="180" xr:uid="{00000000-0005-0000-0000-0000DB000000}"/>
    <cellStyle name="Notas 2" xfId="181" xr:uid="{00000000-0005-0000-0000-0000DC000000}"/>
    <cellStyle name="Notas 3" xfId="182" xr:uid="{00000000-0005-0000-0000-0000DD000000}"/>
    <cellStyle name="Notas 4" xfId="183" xr:uid="{00000000-0005-0000-0000-0000DE000000}"/>
    <cellStyle name="Notas 5" xfId="184" xr:uid="{00000000-0005-0000-0000-0000DF000000}"/>
    <cellStyle name="Notas 6" xfId="197" xr:uid="{00000000-0005-0000-0000-0000E0000000}"/>
    <cellStyle name="Notas 7" xfId="217" xr:uid="{00000000-0005-0000-0000-0000E1000000}"/>
    <cellStyle name="Porcentaje" xfId="185" builtinId="5"/>
    <cellStyle name="Porcentual 2" xfId="186" xr:uid="{00000000-0005-0000-0000-0000E3000000}"/>
    <cellStyle name="Salida" xfId="187" builtinId="21" customBuiltin="1"/>
    <cellStyle name="Texto de advertencia" xfId="188" builtinId="11" customBuiltin="1"/>
    <cellStyle name="Texto explicativo" xfId="189" builtinId="53" customBuiltin="1"/>
    <cellStyle name="Título" xfId="190" builtinId="15" customBuiltin="1"/>
    <cellStyle name="Título 2" xfId="191" builtinId="17" customBuiltin="1"/>
    <cellStyle name="Título 3" xfId="192" builtinId="18" customBuiltin="1"/>
    <cellStyle name="Título 4" xfId="193" xr:uid="{00000000-0005-0000-0000-0000EA000000}"/>
    <cellStyle name="Total" xfId="194" builtinId="25" customBuiltin="1"/>
  </cellStyles>
  <dxfs count="0"/>
  <tableStyles count="0" defaultTableStyle="TableStyleMedium9" defaultPivotStyle="PivotStyleLight16"/>
  <colors>
    <mruColors>
      <color rgb="FFFFCC99"/>
      <color rgb="FFCCFFCC"/>
      <color rgb="FFCCFFFF"/>
      <color rgb="FF99FFCC"/>
      <color rgb="FFFF9999"/>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 uri="{FF2B5EF4-FFF2-40B4-BE49-F238E27FC236}">
                  <a16:creationId xmlns:a16="http://schemas.microsoft.com/office/drawing/2014/main" id="{00000000-0008-0000-1B00-000001180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7.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zoomScaleNormal="100"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102</v>
      </c>
      <c r="B3" s="275" t="s">
        <v>45</v>
      </c>
      <c r="C3" s="275"/>
      <c r="D3" s="275"/>
      <c r="E3" s="276"/>
      <c r="F3" s="276"/>
      <c r="G3" s="276"/>
      <c r="H3" s="276"/>
      <c r="I3" s="276"/>
      <c r="J3" s="277"/>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49"/>
      <c r="C6" s="103"/>
      <c r="D6" s="347"/>
      <c r="E6" s="350" t="s">
        <v>33</v>
      </c>
      <c r="F6" s="351"/>
      <c r="G6" s="351"/>
      <c r="H6" s="352"/>
      <c r="I6" s="347"/>
      <c r="J6" s="355"/>
      <c r="K6" s="356"/>
    </row>
    <row r="7" spans="1:11" ht="12.75" customHeight="1" x14ac:dyDescent="0.25">
      <c r="A7" s="306"/>
      <c r="B7" s="304"/>
      <c r="C7" s="305"/>
      <c r="D7" s="74"/>
      <c r="E7" s="39"/>
      <c r="F7" s="32"/>
      <c r="G7" s="46"/>
      <c r="H7" s="47"/>
      <c r="I7" s="67"/>
      <c r="J7" s="39"/>
      <c r="K7" s="44"/>
    </row>
    <row r="8" spans="1:11" ht="12.75" customHeight="1" x14ac:dyDescent="0.25">
      <c r="A8" s="306"/>
      <c r="B8" s="336"/>
      <c r="C8" s="335"/>
      <c r="D8" s="74"/>
      <c r="E8" s="39"/>
      <c r="F8" s="32"/>
      <c r="G8" s="46"/>
      <c r="H8" s="47"/>
      <c r="I8" s="67"/>
      <c r="J8" s="39"/>
      <c r="K8" s="44"/>
    </row>
    <row r="9" spans="1:11" ht="12.75" customHeight="1" x14ac:dyDescent="0.25">
      <c r="A9" s="306"/>
      <c r="B9" s="336"/>
      <c r="C9" s="335"/>
      <c r="D9" s="74"/>
      <c r="E9" s="39"/>
      <c r="F9" s="32"/>
      <c r="G9" s="46"/>
      <c r="H9" s="47"/>
      <c r="I9" s="67"/>
      <c r="J9" s="39"/>
      <c r="K9" s="44"/>
    </row>
    <row r="10" spans="1:11" ht="12.75" customHeight="1" x14ac:dyDescent="0.25">
      <c r="A10" s="306"/>
      <c r="B10" s="307"/>
      <c r="C10" s="308"/>
      <c r="D10" s="74"/>
      <c r="E10" s="39"/>
      <c r="F10" s="32"/>
      <c r="G10" s="46"/>
      <c r="H10" s="47"/>
      <c r="I10" s="67"/>
      <c r="J10" s="39"/>
      <c r="K10" s="44"/>
    </row>
    <row r="11" spans="1:11" x14ac:dyDescent="0.25">
      <c r="A11" s="50"/>
      <c r="B11" s="33"/>
      <c r="C11" s="33"/>
      <c r="D11" s="51"/>
      <c r="E11" s="51"/>
      <c r="F11" s="51"/>
      <c r="G11" s="344" t="s">
        <v>131</v>
      </c>
      <c r="H11" s="345"/>
      <c r="I11" s="69">
        <f>SUM(I7:I10)</f>
        <v>0</v>
      </c>
      <c r="J11" s="52"/>
      <c r="K11" s="53"/>
    </row>
    <row r="12" spans="1:11" ht="12.75" customHeight="1" x14ac:dyDescent="0.25">
      <c r="A12" s="3"/>
      <c r="B12" s="3"/>
      <c r="C12" s="3"/>
      <c r="D12" s="3"/>
      <c r="E12" s="3"/>
      <c r="F12" s="3"/>
      <c r="G12" s="3"/>
      <c r="H12" s="3"/>
      <c r="I12" s="3"/>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ht="12.75" customHeight="1" x14ac:dyDescent="0.25">
      <c r="A15" s="36"/>
      <c r="B15" s="36"/>
      <c r="C15" s="36"/>
      <c r="D15" s="36"/>
      <c r="E15" s="39"/>
      <c r="F15" s="44"/>
      <c r="G15" s="39"/>
      <c r="H15" s="44"/>
      <c r="I15" s="57"/>
      <c r="J15" s="57"/>
      <c r="K15" s="57"/>
    </row>
    <row r="16" spans="1:11" x14ac:dyDescent="0.25">
      <c r="A16" s="78">
        <v>43159</v>
      </c>
      <c r="B16" s="58" t="s">
        <v>317</v>
      </c>
      <c r="C16" s="59">
        <v>709</v>
      </c>
      <c r="D16" s="59">
        <v>735</v>
      </c>
      <c r="E16" s="39" t="s">
        <v>318</v>
      </c>
      <c r="F16" s="44"/>
      <c r="G16" s="60" t="s">
        <v>319</v>
      </c>
      <c r="H16" s="61"/>
      <c r="I16" s="70">
        <v>16993200</v>
      </c>
      <c r="J16" s="70">
        <v>11328800</v>
      </c>
      <c r="K16" s="70">
        <f>+I16-J16</f>
        <v>5664400</v>
      </c>
    </row>
    <row r="17" spans="1:11" x14ac:dyDescent="0.25">
      <c r="A17" s="78">
        <v>43180</v>
      </c>
      <c r="B17" s="58" t="s">
        <v>359</v>
      </c>
      <c r="C17" s="59">
        <v>715</v>
      </c>
      <c r="D17" s="59">
        <v>766</v>
      </c>
      <c r="E17" s="39" t="s">
        <v>255</v>
      </c>
      <c r="F17" s="44"/>
      <c r="G17" s="60" t="s">
        <v>360</v>
      </c>
      <c r="H17" s="61"/>
      <c r="I17" s="71">
        <v>8736000</v>
      </c>
      <c r="J17" s="71">
        <v>5928000</v>
      </c>
      <c r="K17" s="70">
        <f>+I17-J17</f>
        <v>2808000</v>
      </c>
    </row>
    <row r="18" spans="1:11" x14ac:dyDescent="0.25">
      <c r="A18" s="78">
        <v>43374</v>
      </c>
      <c r="B18" s="58" t="s">
        <v>317</v>
      </c>
      <c r="C18" s="59">
        <v>1190</v>
      </c>
      <c r="D18" s="59">
        <v>1515</v>
      </c>
      <c r="E18" s="39" t="s">
        <v>754</v>
      </c>
      <c r="F18" s="44"/>
      <c r="G18" s="60" t="s">
        <v>319</v>
      </c>
      <c r="H18" s="61"/>
      <c r="I18" s="70">
        <v>606900</v>
      </c>
      <c r="J18" s="70"/>
      <c r="K18" s="70">
        <f>+I18-J18</f>
        <v>606900</v>
      </c>
    </row>
    <row r="19" spans="1:11" x14ac:dyDescent="0.25">
      <c r="A19" s="78">
        <v>43382</v>
      </c>
      <c r="B19" s="58" t="s">
        <v>359</v>
      </c>
      <c r="C19" s="59">
        <v>1373</v>
      </c>
      <c r="D19" s="59">
        <v>1559</v>
      </c>
      <c r="E19" t="s">
        <v>744</v>
      </c>
      <c r="F19" s="61"/>
      <c r="G19" t="s">
        <v>360</v>
      </c>
      <c r="H19" s="61"/>
      <c r="I19" s="72">
        <v>312000</v>
      </c>
      <c r="J19" s="70"/>
      <c r="K19" s="70">
        <f>+I19-J19</f>
        <v>312000</v>
      </c>
    </row>
    <row r="20" spans="1:11" x14ac:dyDescent="0.25">
      <c r="A20" s="43"/>
      <c r="B20" s="58"/>
      <c r="C20" s="59"/>
      <c r="D20" s="59"/>
      <c r="E20" s="39"/>
      <c r="F20" s="61"/>
      <c r="G20" s="60"/>
      <c r="H20" s="61"/>
      <c r="I20" s="62"/>
      <c r="J20" s="70"/>
      <c r="K20" s="70"/>
    </row>
    <row r="21" spans="1:11" x14ac:dyDescent="0.25">
      <c r="A21" s="50"/>
      <c r="B21" s="51"/>
      <c r="C21" s="51"/>
      <c r="D21" s="51"/>
      <c r="E21" s="51"/>
      <c r="F21" s="51"/>
      <c r="G21" s="344" t="s">
        <v>131</v>
      </c>
      <c r="H21" s="345"/>
      <c r="I21" s="73">
        <f>SUM(I16:I20)</f>
        <v>26648100</v>
      </c>
      <c r="J21" s="73">
        <f>SUM(J16:J20)</f>
        <v>17256800</v>
      </c>
      <c r="K21" s="73">
        <f>SUM(K16:K20)</f>
        <v>9391300</v>
      </c>
    </row>
    <row r="22" spans="1:11" ht="12.75" customHeight="1" x14ac:dyDescent="0.25">
      <c r="A22" s="3"/>
      <c r="B22" s="3"/>
      <c r="C22" s="3"/>
      <c r="D22" s="3"/>
      <c r="E22" s="3"/>
      <c r="F22" s="3"/>
      <c r="G22" s="3"/>
      <c r="H22" s="3"/>
      <c r="I22" s="3"/>
      <c r="J22" s="66"/>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86">
        <v>50000000</v>
      </c>
      <c r="B24" s="286"/>
      <c r="C24" s="286">
        <v>0</v>
      </c>
      <c r="D24" s="287">
        <f>+A24+B24-C24</f>
        <v>50000000</v>
      </c>
      <c r="E24" s="287">
        <f>+I21</f>
        <v>26648100</v>
      </c>
      <c r="F24" s="288">
        <f>+E24/D24</f>
        <v>0.53296200000000005</v>
      </c>
      <c r="G24" s="287">
        <f>+I11</f>
        <v>0</v>
      </c>
      <c r="H24" s="287">
        <f>+D24-E24-G24</f>
        <v>23351900</v>
      </c>
      <c r="I24" s="287">
        <f>+J21</f>
        <v>17256800</v>
      </c>
      <c r="J24" s="289">
        <f>+I24/D24</f>
        <v>0.345136</v>
      </c>
      <c r="K24" s="287">
        <f>+K21</f>
        <v>9391300</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I5:I6"/>
    <mergeCell ref="J5:K6"/>
    <mergeCell ref="E6:H6"/>
    <mergeCell ref="I13:I14"/>
    <mergeCell ref="J13:J14"/>
    <mergeCell ref="E14:F14"/>
    <mergeCell ref="G14:H14"/>
    <mergeCell ref="G21:H21"/>
    <mergeCell ref="A5:A6"/>
    <mergeCell ref="B5:B6"/>
    <mergeCell ref="D5:D6"/>
    <mergeCell ref="A13:A14"/>
    <mergeCell ref="E13:H13"/>
    <mergeCell ref="G11:H11"/>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selection activeCell="A17" sqref="A17:XFD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108</v>
      </c>
      <c r="B3" s="278" t="s">
        <v>50</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43"/>
      <c r="B7" s="37"/>
      <c r="C7" s="40"/>
      <c r="D7" s="114"/>
      <c r="E7" s="37"/>
      <c r="F7" s="40"/>
      <c r="G7" s="41"/>
      <c r="H7" s="42"/>
      <c r="I7" s="70"/>
      <c r="J7" s="37"/>
      <c r="K7" s="42"/>
    </row>
    <row r="8" spans="1:11" x14ac:dyDescent="0.25">
      <c r="A8" s="43">
        <v>43209</v>
      </c>
      <c r="B8" s="39" t="s">
        <v>172</v>
      </c>
      <c r="C8" s="32"/>
      <c r="D8" s="114">
        <v>768</v>
      </c>
      <c r="E8" s="39" t="s">
        <v>412</v>
      </c>
      <c r="F8" s="32"/>
      <c r="G8" s="46"/>
      <c r="H8" s="47"/>
      <c r="I8" s="67">
        <f>625005780-596386693</f>
        <v>28619087</v>
      </c>
      <c r="J8" s="39" t="s">
        <v>178</v>
      </c>
      <c r="K8" s="47"/>
    </row>
    <row r="9" spans="1:11" x14ac:dyDescent="0.25">
      <c r="A9" s="43">
        <v>43217</v>
      </c>
      <c r="B9" s="39" t="s">
        <v>172</v>
      </c>
      <c r="C9" s="32"/>
      <c r="D9" s="114">
        <v>772</v>
      </c>
      <c r="E9" s="39" t="s">
        <v>851</v>
      </c>
      <c r="F9" s="32"/>
      <c r="G9" s="46"/>
      <c r="H9" s="47"/>
      <c r="I9" s="67">
        <v>10127810</v>
      </c>
      <c r="J9" s="39"/>
      <c r="K9" s="47"/>
    </row>
    <row r="10" spans="1:11" x14ac:dyDescent="0.25">
      <c r="A10" s="43"/>
      <c r="B10" s="39"/>
      <c r="C10" s="32"/>
      <c r="D10" s="114"/>
      <c r="E10" s="39"/>
      <c r="F10" s="32"/>
      <c r="G10" s="46"/>
      <c r="H10" s="47"/>
      <c r="I10" s="67"/>
      <c r="J10" s="39"/>
      <c r="K10" s="47"/>
    </row>
    <row r="11" spans="1:11" ht="12.75" customHeight="1" x14ac:dyDescent="0.25">
      <c r="A11" s="43"/>
      <c r="B11" s="39"/>
      <c r="C11" s="32"/>
      <c r="D11" s="39"/>
      <c r="E11" s="39"/>
      <c r="F11" s="32"/>
      <c r="G11" s="46"/>
      <c r="H11" s="47"/>
      <c r="I11" s="49"/>
      <c r="J11" s="39"/>
      <c r="K11" s="44"/>
    </row>
    <row r="12" spans="1:11" x14ac:dyDescent="0.25">
      <c r="A12" s="50"/>
      <c r="B12" s="51"/>
      <c r="C12" s="51"/>
      <c r="D12" s="51"/>
      <c r="E12" s="51"/>
      <c r="F12" s="51"/>
      <c r="G12" s="344" t="s">
        <v>131</v>
      </c>
      <c r="H12" s="345"/>
      <c r="I12" s="69">
        <f>SUM(I7:I11)</f>
        <v>38746897</v>
      </c>
      <c r="J12" s="52"/>
      <c r="K12" s="53"/>
    </row>
    <row r="13" spans="1:11" ht="12.75" customHeight="1" x14ac:dyDescent="0.25">
      <c r="A13" s="3"/>
      <c r="B13" s="3"/>
      <c r="C13" s="3"/>
      <c r="D13" s="3"/>
      <c r="E13" s="3"/>
      <c r="F13" s="3"/>
      <c r="G13" s="3"/>
      <c r="H13" s="3"/>
      <c r="I13" s="107"/>
      <c r="J13" s="32"/>
      <c r="K13" s="44"/>
    </row>
    <row r="14" spans="1:11" x14ac:dyDescent="0.25">
      <c r="A14" s="346" t="s">
        <v>28</v>
      </c>
      <c r="B14" s="30" t="s">
        <v>38</v>
      </c>
      <c r="C14" s="55" t="s">
        <v>34</v>
      </c>
      <c r="D14" s="54" t="s">
        <v>34</v>
      </c>
      <c r="E14" s="350" t="s">
        <v>40</v>
      </c>
      <c r="F14" s="351"/>
      <c r="G14" s="351"/>
      <c r="H14" s="352"/>
      <c r="I14" s="346" t="s">
        <v>31</v>
      </c>
      <c r="J14" s="346" t="s">
        <v>29</v>
      </c>
      <c r="K14" s="55" t="s">
        <v>56</v>
      </c>
    </row>
    <row r="15" spans="1:11" x14ac:dyDescent="0.25">
      <c r="A15" s="347"/>
      <c r="B15" s="56" t="s">
        <v>39</v>
      </c>
      <c r="C15" s="56" t="s">
        <v>36</v>
      </c>
      <c r="D15" s="56" t="s">
        <v>35</v>
      </c>
      <c r="E15" s="350" t="s">
        <v>33</v>
      </c>
      <c r="F15" s="352"/>
      <c r="G15" s="350" t="s">
        <v>32</v>
      </c>
      <c r="H15" s="352"/>
      <c r="I15" s="347"/>
      <c r="J15" s="347"/>
      <c r="K15" s="56" t="s">
        <v>57</v>
      </c>
    </row>
    <row r="16" spans="1:11" ht="12.75" customHeight="1" x14ac:dyDescent="0.25">
      <c r="A16" s="115"/>
      <c r="B16" s="57"/>
      <c r="C16" s="57"/>
      <c r="D16" s="57"/>
      <c r="E16" s="37"/>
      <c r="F16" s="38"/>
      <c r="G16" s="37"/>
      <c r="H16" s="38"/>
      <c r="I16" s="42"/>
      <c r="J16" s="57"/>
      <c r="K16" s="116"/>
    </row>
    <row r="17" spans="1:11" hidden="1" x14ac:dyDescent="0.25">
      <c r="A17" s="43">
        <v>43220</v>
      </c>
      <c r="B17" s="58" t="s">
        <v>435</v>
      </c>
      <c r="C17" s="59">
        <v>772</v>
      </c>
      <c r="D17" s="59">
        <v>811</v>
      </c>
      <c r="E17" s="39" t="s">
        <v>436</v>
      </c>
      <c r="F17" s="61"/>
      <c r="G17" s="77" t="s">
        <v>437</v>
      </c>
      <c r="H17" s="61"/>
      <c r="I17" s="70">
        <f>13422463-10127810</f>
        <v>3294653</v>
      </c>
      <c r="J17" s="70">
        <v>3294653</v>
      </c>
      <c r="K17" s="95">
        <f>+I17-J17</f>
        <v>0</v>
      </c>
    </row>
    <row r="18" spans="1:11" x14ac:dyDescent="0.25">
      <c r="A18" s="43">
        <v>43280</v>
      </c>
      <c r="B18" s="58" t="s">
        <v>531</v>
      </c>
      <c r="C18" s="59">
        <v>768</v>
      </c>
      <c r="D18" s="59">
        <v>901</v>
      </c>
      <c r="E18" s="39" t="s">
        <v>412</v>
      </c>
      <c r="F18" s="61"/>
      <c r="G18" s="77" t="s">
        <v>437</v>
      </c>
      <c r="H18" s="61"/>
      <c r="I18" s="70">
        <v>596386693</v>
      </c>
      <c r="J18" s="70">
        <v>566321273</v>
      </c>
      <c r="K18" s="95">
        <f>+I18-J18</f>
        <v>30065420</v>
      </c>
    </row>
    <row r="19" spans="1:11" ht="12.75" customHeight="1" x14ac:dyDescent="0.25">
      <c r="A19" s="43"/>
      <c r="B19" s="36"/>
      <c r="C19" s="36"/>
      <c r="D19" s="36"/>
      <c r="E19" s="39"/>
      <c r="F19" s="44"/>
      <c r="G19" s="39"/>
      <c r="H19" s="44"/>
      <c r="I19" s="83"/>
      <c r="J19" s="83"/>
      <c r="K19" s="83"/>
    </row>
    <row r="20" spans="1:11" x14ac:dyDescent="0.25">
      <c r="A20" s="50"/>
      <c r="B20" s="51"/>
      <c r="C20" s="51"/>
      <c r="D20" s="51"/>
      <c r="E20" s="51"/>
      <c r="F20" s="51"/>
      <c r="G20" s="344" t="s">
        <v>131</v>
      </c>
      <c r="H20" s="345"/>
      <c r="I20" s="73">
        <f>SUM(I16:I19)</f>
        <v>599681346</v>
      </c>
      <c r="J20" s="73">
        <f>SUM(J16:J19)</f>
        <v>569615926</v>
      </c>
      <c r="K20" s="73">
        <f>SUM(K16:K19)</f>
        <v>30065420</v>
      </c>
    </row>
    <row r="21" spans="1:11" ht="12.75" customHeight="1" x14ac:dyDescent="0.25">
      <c r="A21" s="51"/>
      <c r="B21" s="51"/>
      <c r="C21" s="51"/>
      <c r="D21" s="51"/>
      <c r="E21" s="51"/>
      <c r="F21" s="51"/>
      <c r="G21" s="51"/>
      <c r="H21" s="51"/>
      <c r="I21" s="152"/>
      <c r="J21" s="86"/>
      <c r="K21" s="51"/>
    </row>
    <row r="22" spans="1:11" ht="24.95" customHeight="1" x14ac:dyDescent="0.25">
      <c r="A22" s="284" t="s">
        <v>58</v>
      </c>
      <c r="B22" s="284" t="s">
        <v>132</v>
      </c>
      <c r="C22" s="284" t="s">
        <v>30</v>
      </c>
      <c r="D22" s="285" t="s">
        <v>59</v>
      </c>
      <c r="E22" s="284" t="s">
        <v>40</v>
      </c>
      <c r="F22" s="284" t="s">
        <v>62</v>
      </c>
      <c r="G22" s="284" t="s">
        <v>37</v>
      </c>
      <c r="H22" s="284" t="s">
        <v>60</v>
      </c>
      <c r="I22" s="284" t="s">
        <v>61</v>
      </c>
      <c r="J22" s="284" t="s">
        <v>98</v>
      </c>
      <c r="K22" s="284" t="s">
        <v>68</v>
      </c>
    </row>
    <row r="23" spans="1:11" ht="24.95" customHeight="1" x14ac:dyDescent="0.25">
      <c r="A23" s="291">
        <v>843416000</v>
      </c>
      <c r="B23" s="291">
        <v>-47812420</v>
      </c>
      <c r="C23" s="291">
        <v>0</v>
      </c>
      <c r="D23" s="287">
        <f>+A23+B23-C23</f>
        <v>795603580</v>
      </c>
      <c r="E23" s="287">
        <f>+I20</f>
        <v>599681346</v>
      </c>
      <c r="F23" s="288">
        <f>+E23/D23</f>
        <v>0.7537439009512753</v>
      </c>
      <c r="G23" s="287">
        <f>+I12</f>
        <v>38746897</v>
      </c>
      <c r="H23" s="287">
        <f>+D23-E23-G23</f>
        <v>157175337</v>
      </c>
      <c r="I23" s="287">
        <f>+J20</f>
        <v>569615926</v>
      </c>
      <c r="J23" s="293">
        <f>+I23/D23</f>
        <v>0.7159544530958496</v>
      </c>
      <c r="K23" s="287">
        <f>+K20</f>
        <v>30065420</v>
      </c>
    </row>
    <row r="24" spans="1:11" x14ac:dyDescent="0.25">
      <c r="A24" s="290">
        <v>1</v>
      </c>
      <c r="B24" s="290">
        <v>2</v>
      </c>
      <c r="C24" s="290">
        <v>3</v>
      </c>
      <c r="D24" s="290" t="s">
        <v>42</v>
      </c>
      <c r="E24" s="290">
        <v>5</v>
      </c>
      <c r="F24" s="290" t="s">
        <v>69</v>
      </c>
      <c r="G24" s="290">
        <v>7</v>
      </c>
      <c r="H24" s="290" t="s">
        <v>70</v>
      </c>
      <c r="I24" s="290">
        <v>9</v>
      </c>
      <c r="J24" s="290" t="s">
        <v>99</v>
      </c>
      <c r="K24" s="290" t="s">
        <v>100</v>
      </c>
    </row>
  </sheetData>
  <mergeCells count="15">
    <mergeCell ref="G20:H20"/>
    <mergeCell ref="E14:H14"/>
    <mergeCell ref="E15:F15"/>
    <mergeCell ref="G15:H15"/>
    <mergeCell ref="E5:H5"/>
    <mergeCell ref="E6:H6"/>
    <mergeCell ref="G12:H12"/>
    <mergeCell ref="A5:A6"/>
    <mergeCell ref="J14:J15"/>
    <mergeCell ref="I14:I15"/>
    <mergeCell ref="A14:A15"/>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72"/>
  <sheetViews>
    <sheetView zoomScaleNormal="100" workbookViewId="0">
      <selection activeCell="K61" sqref="K61:K6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109</v>
      </c>
      <c r="B3" s="275" t="s">
        <v>0</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18"/>
      <c r="B7" s="119"/>
      <c r="C7" s="120"/>
      <c r="D7" s="256"/>
      <c r="E7" s="121"/>
      <c r="F7" s="121"/>
      <c r="G7" s="121"/>
      <c r="H7" s="122"/>
      <c r="I7" s="123"/>
      <c r="J7" s="124"/>
      <c r="K7" s="257"/>
    </row>
    <row r="8" spans="1:11" ht="12.75" customHeight="1" x14ac:dyDescent="0.25">
      <c r="A8" s="338">
        <v>43104</v>
      </c>
      <c r="B8" s="87" t="s">
        <v>172</v>
      </c>
      <c r="C8" s="272"/>
      <c r="D8" s="80">
        <v>113</v>
      </c>
      <c r="E8" s="81" t="s">
        <v>173</v>
      </c>
      <c r="F8" s="81"/>
      <c r="G8" s="81"/>
      <c r="H8" s="85"/>
      <c r="I8" s="273">
        <f>190570746-27512524-903480-23500-112440-650390-26522640-930790-45320-134050-693080-890120-28987607-53790</f>
        <v>103111015</v>
      </c>
      <c r="J8" s="339" t="s">
        <v>178</v>
      </c>
      <c r="K8" s="257"/>
    </row>
    <row r="9" spans="1:11" x14ac:dyDescent="0.25">
      <c r="A9" s="332"/>
      <c r="B9" s="216"/>
      <c r="D9" s="80"/>
      <c r="E9" s="81"/>
      <c r="F9" s="81"/>
      <c r="G9" s="81"/>
      <c r="H9" s="85"/>
      <c r="I9" s="340"/>
    </row>
    <row r="10" spans="1:11" x14ac:dyDescent="0.25">
      <c r="A10" s="50"/>
      <c r="B10" s="51"/>
      <c r="C10" s="51"/>
      <c r="D10" s="51"/>
      <c r="E10" s="51"/>
      <c r="F10" s="51"/>
      <c r="G10" s="344" t="s">
        <v>131</v>
      </c>
      <c r="H10" s="345"/>
      <c r="I10" s="128">
        <f>SUM(I8:I9)</f>
        <v>103111015</v>
      </c>
      <c r="J10" s="127"/>
      <c r="K10" s="103"/>
    </row>
    <row r="11" spans="1:11" ht="12.75" customHeight="1" x14ac:dyDescent="0.25">
      <c r="A11" s="3"/>
      <c r="B11" s="3"/>
      <c r="C11" s="3"/>
      <c r="D11" s="3"/>
      <c r="E11" s="3"/>
      <c r="F11" s="3"/>
      <c r="G11" s="3"/>
      <c r="H11" s="3"/>
      <c r="I11" s="22"/>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5" customHeight="1" x14ac:dyDescent="0.25">
      <c r="A14" s="78">
        <v>43112</v>
      </c>
      <c r="B14" s="225" t="s">
        <v>162</v>
      </c>
      <c r="C14" s="80">
        <v>113</v>
      </c>
      <c r="D14" s="80">
        <v>135</v>
      </c>
      <c r="E14" s="39" t="s">
        <v>222</v>
      </c>
      <c r="F14" s="61"/>
      <c r="G14" s="39" t="s">
        <v>163</v>
      </c>
      <c r="H14" s="76"/>
      <c r="I14" s="71">
        <v>573110</v>
      </c>
      <c r="J14" s="71">
        <v>573110</v>
      </c>
      <c r="K14" s="28">
        <f t="shared" ref="K14:K16" si="0">+I14-J14</f>
        <v>0</v>
      </c>
    </row>
    <row r="15" spans="1:11" x14ac:dyDescent="0.25">
      <c r="A15" s="78">
        <v>43117</v>
      </c>
      <c r="B15" s="225" t="s">
        <v>192</v>
      </c>
      <c r="C15" s="228">
        <v>113</v>
      </c>
      <c r="D15" s="228">
        <v>235</v>
      </c>
      <c r="E15" s="39" t="s">
        <v>223</v>
      </c>
      <c r="F15" s="61"/>
      <c r="G15" s="39" t="s">
        <v>163</v>
      </c>
      <c r="H15" s="76"/>
      <c r="I15" s="71">
        <v>69120</v>
      </c>
      <c r="J15" s="71">
        <v>69120</v>
      </c>
      <c r="K15" s="28">
        <f t="shared" si="0"/>
        <v>0</v>
      </c>
    </row>
    <row r="16" spans="1:11" x14ac:dyDescent="0.25">
      <c r="A16" s="78">
        <v>43119</v>
      </c>
      <c r="B16" s="225" t="s">
        <v>193</v>
      </c>
      <c r="C16" s="80">
        <v>113</v>
      </c>
      <c r="D16" s="80">
        <v>291</v>
      </c>
      <c r="E16" s="39" t="s">
        <v>224</v>
      </c>
      <c r="F16" s="61"/>
      <c r="G16" s="39" t="s">
        <v>163</v>
      </c>
      <c r="H16" s="76"/>
      <c r="I16" s="71">
        <v>26284589</v>
      </c>
      <c r="J16" s="71">
        <v>26284589</v>
      </c>
      <c r="K16" s="28">
        <f t="shared" si="0"/>
        <v>0</v>
      </c>
    </row>
    <row r="17" spans="1:14" x14ac:dyDescent="0.25">
      <c r="A17" s="96">
        <v>43138</v>
      </c>
      <c r="B17" s="225" t="s">
        <v>247</v>
      </c>
      <c r="C17" s="217">
        <v>113</v>
      </c>
      <c r="D17" s="217">
        <v>688</v>
      </c>
      <c r="E17" s="259" t="s">
        <v>248</v>
      </c>
      <c r="F17" s="74"/>
      <c r="G17" s="39" t="s">
        <v>163</v>
      </c>
      <c r="H17" s="61"/>
      <c r="I17" s="28">
        <v>289800</v>
      </c>
      <c r="J17" s="28">
        <v>289800</v>
      </c>
      <c r="K17" s="28">
        <f t="shared" ref="K17:K42" si="1">+I17-J17</f>
        <v>0</v>
      </c>
    </row>
    <row r="18" spans="1:14" x14ac:dyDescent="0.25">
      <c r="A18" s="96">
        <v>43147</v>
      </c>
      <c r="B18" s="309" t="s">
        <v>263</v>
      </c>
      <c r="C18" s="217">
        <v>113</v>
      </c>
      <c r="D18" s="217">
        <v>719</v>
      </c>
      <c r="E18" s="259" t="s">
        <v>264</v>
      </c>
      <c r="F18" s="74"/>
      <c r="G18" s="39" t="s">
        <v>163</v>
      </c>
      <c r="H18" s="61"/>
      <c r="I18" s="28">
        <v>557700</v>
      </c>
      <c r="J18" s="28">
        <v>557700</v>
      </c>
      <c r="K18" s="28">
        <f t="shared" si="1"/>
        <v>0</v>
      </c>
    </row>
    <row r="19" spans="1:14" x14ac:dyDescent="0.25">
      <c r="A19" s="96">
        <v>43150</v>
      </c>
      <c r="B19" s="309" t="s">
        <v>304</v>
      </c>
      <c r="C19" s="217">
        <v>113</v>
      </c>
      <c r="D19" s="217">
        <v>723</v>
      </c>
      <c r="E19" s="39" t="s">
        <v>305</v>
      </c>
      <c r="F19" s="74"/>
      <c r="G19" s="39" t="s">
        <v>163</v>
      </c>
      <c r="H19" s="61"/>
      <c r="I19" s="28">
        <v>115040</v>
      </c>
      <c r="J19" s="28">
        <v>115040</v>
      </c>
      <c r="K19" s="28">
        <f t="shared" si="1"/>
        <v>0</v>
      </c>
    </row>
    <row r="20" spans="1:14" x14ac:dyDescent="0.25">
      <c r="A20" s="96">
        <v>43154</v>
      </c>
      <c r="B20" s="311" t="s">
        <v>314</v>
      </c>
      <c r="C20" s="217">
        <v>113</v>
      </c>
      <c r="D20" s="217">
        <v>733</v>
      </c>
      <c r="E20" s="39" t="s">
        <v>315</v>
      </c>
      <c r="F20" s="74"/>
      <c r="G20" s="39" t="s">
        <v>163</v>
      </c>
      <c r="H20" s="61"/>
      <c r="I20" s="28">
        <v>25888084</v>
      </c>
      <c r="J20" s="28">
        <v>25888084</v>
      </c>
      <c r="K20" s="28">
        <f t="shared" si="1"/>
        <v>0</v>
      </c>
      <c r="N20" s="321"/>
    </row>
    <row r="21" spans="1:14" x14ac:dyDescent="0.25">
      <c r="A21" s="96">
        <v>43154</v>
      </c>
      <c r="B21" s="309" t="s">
        <v>313</v>
      </c>
      <c r="C21" s="217">
        <v>113</v>
      </c>
      <c r="D21" s="217">
        <v>734</v>
      </c>
      <c r="E21" s="39" t="s">
        <v>316</v>
      </c>
      <c r="F21" s="74"/>
      <c r="G21" s="39" t="s">
        <v>163</v>
      </c>
      <c r="H21" s="61"/>
      <c r="I21" s="28">
        <v>2652570</v>
      </c>
      <c r="J21" s="28">
        <v>2652570</v>
      </c>
      <c r="K21" s="28">
        <f t="shared" si="1"/>
        <v>0</v>
      </c>
      <c r="N21" s="321"/>
    </row>
    <row r="22" spans="1:14" x14ac:dyDescent="0.25">
      <c r="A22" s="96">
        <v>43164</v>
      </c>
      <c r="B22" s="309" t="s">
        <v>323</v>
      </c>
      <c r="C22" s="217">
        <v>113</v>
      </c>
      <c r="D22" s="217">
        <v>744</v>
      </c>
      <c r="E22" s="39" t="s">
        <v>324</v>
      </c>
      <c r="F22" s="74"/>
      <c r="G22" s="39" t="s">
        <v>163</v>
      </c>
      <c r="H22" s="61"/>
      <c r="I22" s="28">
        <v>71160</v>
      </c>
      <c r="J22" s="28">
        <v>71160</v>
      </c>
      <c r="K22" s="28">
        <f t="shared" si="1"/>
        <v>0</v>
      </c>
    </row>
    <row r="23" spans="1:14" x14ac:dyDescent="0.25">
      <c r="A23" s="96">
        <v>43172</v>
      </c>
      <c r="B23" s="309" t="s">
        <v>348</v>
      </c>
      <c r="C23" s="217">
        <v>113</v>
      </c>
      <c r="D23" s="217">
        <v>753</v>
      </c>
      <c r="E23" s="39" t="s">
        <v>349</v>
      </c>
      <c r="F23" s="74"/>
      <c r="G23" s="39" t="s">
        <v>163</v>
      </c>
      <c r="H23" s="61"/>
      <c r="I23" s="28">
        <v>1892850</v>
      </c>
      <c r="J23" s="28">
        <v>1892850</v>
      </c>
      <c r="K23" s="28">
        <f t="shared" si="1"/>
        <v>0</v>
      </c>
    </row>
    <row r="24" spans="1:14" x14ac:dyDescent="0.25">
      <c r="A24" s="96">
        <v>43180</v>
      </c>
      <c r="B24" s="309" t="s">
        <v>365</v>
      </c>
      <c r="C24" s="217">
        <v>113</v>
      </c>
      <c r="D24" s="217">
        <v>764</v>
      </c>
      <c r="E24" s="39" t="s">
        <v>367</v>
      </c>
      <c r="F24" s="74"/>
      <c r="G24" s="39" t="s">
        <v>163</v>
      </c>
      <c r="H24" s="61"/>
      <c r="I24" s="28">
        <v>233420</v>
      </c>
      <c r="J24" s="28">
        <v>233420</v>
      </c>
      <c r="K24" s="28">
        <f t="shared" si="1"/>
        <v>0</v>
      </c>
    </row>
    <row r="25" spans="1:14" x14ac:dyDescent="0.25">
      <c r="A25" s="96">
        <v>43180</v>
      </c>
      <c r="B25" s="309" t="s">
        <v>366</v>
      </c>
      <c r="C25" s="217">
        <v>113</v>
      </c>
      <c r="D25" s="217">
        <v>765</v>
      </c>
      <c r="E25" s="39" t="s">
        <v>368</v>
      </c>
      <c r="F25" s="74"/>
      <c r="G25" s="39" t="s">
        <v>163</v>
      </c>
      <c r="H25" s="61"/>
      <c r="I25" s="28">
        <v>1399590</v>
      </c>
      <c r="J25" s="28">
        <v>1399590</v>
      </c>
      <c r="K25" s="28">
        <f t="shared" si="1"/>
        <v>0</v>
      </c>
    </row>
    <row r="26" spans="1:14" x14ac:dyDescent="0.25">
      <c r="A26" s="96">
        <v>43181</v>
      </c>
      <c r="B26" s="309" t="s">
        <v>363</v>
      </c>
      <c r="C26" s="217">
        <v>113</v>
      </c>
      <c r="D26" s="217">
        <v>767</v>
      </c>
      <c r="E26" s="39" t="s">
        <v>364</v>
      </c>
      <c r="F26" s="74"/>
      <c r="G26" s="39" t="s">
        <v>163</v>
      </c>
      <c r="H26" s="61"/>
      <c r="I26" s="28">
        <v>23598612</v>
      </c>
      <c r="J26" s="28">
        <v>23598612</v>
      </c>
      <c r="K26" s="28">
        <f t="shared" si="1"/>
        <v>0</v>
      </c>
    </row>
    <row r="27" spans="1:14" x14ac:dyDescent="0.25">
      <c r="A27" s="96">
        <v>43196</v>
      </c>
      <c r="B27" s="309" t="s">
        <v>386</v>
      </c>
      <c r="C27" s="217">
        <v>113</v>
      </c>
      <c r="D27" s="217">
        <v>782</v>
      </c>
      <c r="E27" s="39" t="s">
        <v>387</v>
      </c>
      <c r="F27" s="74"/>
      <c r="G27" s="39" t="s">
        <v>163</v>
      </c>
      <c r="H27" s="61"/>
      <c r="I27" s="28">
        <v>742720</v>
      </c>
      <c r="J27" s="28">
        <v>742720</v>
      </c>
      <c r="K27" s="28">
        <f t="shared" si="1"/>
        <v>0</v>
      </c>
    </row>
    <row r="28" spans="1:14" x14ac:dyDescent="0.25">
      <c r="A28" s="96">
        <v>43200</v>
      </c>
      <c r="B28" s="309" t="s">
        <v>384</v>
      </c>
      <c r="C28" s="217">
        <v>113</v>
      </c>
      <c r="D28" s="217">
        <v>785</v>
      </c>
      <c r="E28" s="39" t="s">
        <v>385</v>
      </c>
      <c r="F28" s="74"/>
      <c r="G28" s="39" t="s">
        <v>163</v>
      </c>
      <c r="H28" s="61"/>
      <c r="I28" s="28">
        <v>98910</v>
      </c>
      <c r="J28" s="28">
        <v>98910</v>
      </c>
      <c r="K28" s="28">
        <f t="shared" si="1"/>
        <v>0</v>
      </c>
    </row>
    <row r="29" spans="1:14" x14ac:dyDescent="0.25">
      <c r="A29" s="96">
        <v>43206</v>
      </c>
      <c r="B29" s="309" t="s">
        <v>400</v>
      </c>
      <c r="C29" s="217">
        <v>113</v>
      </c>
      <c r="D29" s="217">
        <v>787</v>
      </c>
      <c r="E29" s="39" t="s">
        <v>402</v>
      </c>
      <c r="F29" s="74"/>
      <c r="G29" s="39" t="s">
        <v>163</v>
      </c>
      <c r="H29" s="61"/>
      <c r="I29" s="28">
        <v>26675628</v>
      </c>
      <c r="J29" s="28">
        <v>26675628</v>
      </c>
      <c r="K29" s="28">
        <f t="shared" si="1"/>
        <v>0</v>
      </c>
    </row>
    <row r="30" spans="1:14" x14ac:dyDescent="0.25">
      <c r="A30" s="96">
        <v>43206</v>
      </c>
      <c r="B30" s="309" t="s">
        <v>401</v>
      </c>
      <c r="C30" s="217">
        <v>113</v>
      </c>
      <c r="D30" s="217">
        <v>790</v>
      </c>
      <c r="E30" s="39" t="s">
        <v>403</v>
      </c>
      <c r="F30" s="74"/>
      <c r="G30" s="39" t="s">
        <v>163</v>
      </c>
      <c r="H30" s="61"/>
      <c r="I30" s="28">
        <v>2873290</v>
      </c>
      <c r="J30" s="28">
        <v>2873290</v>
      </c>
      <c r="K30" s="28">
        <f t="shared" si="1"/>
        <v>0</v>
      </c>
    </row>
    <row r="31" spans="1:14" x14ac:dyDescent="0.25">
      <c r="A31" s="96">
        <v>43222</v>
      </c>
      <c r="B31" s="309" t="s">
        <v>445</v>
      </c>
      <c r="C31" s="217">
        <v>113</v>
      </c>
      <c r="D31" s="217">
        <v>813</v>
      </c>
      <c r="E31" s="39" t="s">
        <v>447</v>
      </c>
      <c r="F31" s="74"/>
      <c r="G31" s="39" t="s">
        <v>163</v>
      </c>
      <c r="H31" s="61"/>
      <c r="I31" s="28">
        <v>38610</v>
      </c>
      <c r="J31" s="28">
        <v>38610</v>
      </c>
      <c r="K31" s="28">
        <f t="shared" si="1"/>
        <v>0</v>
      </c>
    </row>
    <row r="32" spans="1:14" x14ac:dyDescent="0.25">
      <c r="A32" s="96">
        <v>43228</v>
      </c>
      <c r="B32" s="309" t="s">
        <v>446</v>
      </c>
      <c r="C32" s="217">
        <v>113</v>
      </c>
      <c r="D32" s="217">
        <v>819</v>
      </c>
      <c r="E32" s="39" t="s">
        <v>448</v>
      </c>
      <c r="F32" s="74"/>
      <c r="G32" s="39" t="s">
        <v>163</v>
      </c>
      <c r="H32" s="61"/>
      <c r="I32" s="28">
        <v>766550</v>
      </c>
      <c r="J32" s="28">
        <v>766550</v>
      </c>
      <c r="K32" s="28">
        <f t="shared" si="1"/>
        <v>0</v>
      </c>
    </row>
    <row r="33" spans="1:11" x14ac:dyDescent="0.25">
      <c r="A33" s="96">
        <v>43241</v>
      </c>
      <c r="B33" s="309" t="s">
        <v>461</v>
      </c>
      <c r="C33" s="217">
        <v>113</v>
      </c>
      <c r="D33" s="217">
        <v>833</v>
      </c>
      <c r="E33" s="39" t="s">
        <v>316</v>
      </c>
      <c r="F33" s="74"/>
      <c r="G33" s="39" t="s">
        <v>163</v>
      </c>
      <c r="H33" s="61"/>
      <c r="I33" s="28">
        <v>26920734</v>
      </c>
      <c r="J33" s="28">
        <v>26920734</v>
      </c>
      <c r="K33" s="28">
        <f t="shared" si="1"/>
        <v>0</v>
      </c>
    </row>
    <row r="34" spans="1:11" x14ac:dyDescent="0.25">
      <c r="A34" s="96">
        <v>43256</v>
      </c>
      <c r="B34" s="309" t="s">
        <v>475</v>
      </c>
      <c r="C34" s="217">
        <v>113</v>
      </c>
      <c r="D34" s="217">
        <v>847</v>
      </c>
      <c r="E34" s="39" t="s">
        <v>476</v>
      </c>
      <c r="F34" s="74"/>
      <c r="G34" s="39" t="s">
        <v>163</v>
      </c>
      <c r="H34" s="61"/>
      <c r="I34" s="28">
        <v>806310</v>
      </c>
      <c r="J34" s="28">
        <v>806310</v>
      </c>
      <c r="K34" s="28">
        <f t="shared" si="1"/>
        <v>0</v>
      </c>
    </row>
    <row r="35" spans="1:11" x14ac:dyDescent="0.25">
      <c r="A35" s="96">
        <v>43259</v>
      </c>
      <c r="B35" s="309" t="s">
        <v>473</v>
      </c>
      <c r="C35" s="217">
        <v>113</v>
      </c>
      <c r="D35" s="217">
        <v>857</v>
      </c>
      <c r="E35" s="39" t="s">
        <v>474</v>
      </c>
      <c r="F35" s="74"/>
      <c r="G35" s="39" t="s">
        <v>163</v>
      </c>
      <c r="H35" s="61"/>
      <c r="I35" s="28">
        <v>52530</v>
      </c>
      <c r="J35" s="28">
        <v>52530</v>
      </c>
      <c r="K35" s="28">
        <f t="shared" si="1"/>
        <v>0</v>
      </c>
    </row>
    <row r="36" spans="1:11" x14ac:dyDescent="0.25">
      <c r="A36" s="96">
        <v>43271</v>
      </c>
      <c r="B36" s="309" t="s">
        <v>514</v>
      </c>
      <c r="C36" s="217">
        <v>113</v>
      </c>
      <c r="D36" s="217">
        <v>878</v>
      </c>
      <c r="E36" s="39" t="s">
        <v>516</v>
      </c>
      <c r="F36" s="74"/>
      <c r="G36" s="39" t="s">
        <v>163</v>
      </c>
      <c r="H36" s="61"/>
      <c r="I36" s="28">
        <v>784370</v>
      </c>
      <c r="J36" s="28">
        <v>784370</v>
      </c>
      <c r="K36" s="28">
        <f t="shared" si="1"/>
        <v>0</v>
      </c>
    </row>
    <row r="37" spans="1:11" x14ac:dyDescent="0.25">
      <c r="A37" s="96">
        <v>43272</v>
      </c>
      <c r="B37" s="309" t="s">
        <v>515</v>
      </c>
      <c r="C37" s="217">
        <v>113</v>
      </c>
      <c r="D37" s="217">
        <v>884</v>
      </c>
      <c r="E37" s="39" t="s">
        <v>517</v>
      </c>
      <c r="F37" s="74"/>
      <c r="G37" s="39" t="s">
        <v>163</v>
      </c>
      <c r="H37" s="61"/>
      <c r="I37" s="28">
        <v>27607524</v>
      </c>
      <c r="J37" s="28">
        <v>27607524</v>
      </c>
      <c r="K37" s="28">
        <f t="shared" si="1"/>
        <v>0</v>
      </c>
    </row>
    <row r="38" spans="1:11" x14ac:dyDescent="0.25">
      <c r="A38" s="96">
        <v>43287</v>
      </c>
      <c r="B38" s="309" t="s">
        <v>537</v>
      </c>
      <c r="C38" s="217">
        <v>113</v>
      </c>
      <c r="D38" s="217">
        <v>907</v>
      </c>
      <c r="E38" s="39" t="s">
        <v>541</v>
      </c>
      <c r="F38" s="74"/>
      <c r="G38" s="39" t="s">
        <v>163</v>
      </c>
      <c r="H38" s="61"/>
      <c r="I38" s="28">
        <v>1523090</v>
      </c>
      <c r="J38" s="28">
        <v>1523090</v>
      </c>
      <c r="K38" s="28">
        <f t="shared" si="1"/>
        <v>0</v>
      </c>
    </row>
    <row r="39" spans="1:11" x14ac:dyDescent="0.25">
      <c r="A39" s="96">
        <v>43291</v>
      </c>
      <c r="B39" s="309" t="s">
        <v>538</v>
      </c>
      <c r="C39" s="217">
        <v>113</v>
      </c>
      <c r="D39" s="217">
        <v>908</v>
      </c>
      <c r="E39" s="39" t="s">
        <v>542</v>
      </c>
      <c r="F39" s="74"/>
      <c r="G39" s="39" t="s">
        <v>163</v>
      </c>
      <c r="H39" s="61"/>
      <c r="I39" s="28">
        <v>753520</v>
      </c>
      <c r="J39" s="28">
        <v>753520</v>
      </c>
      <c r="K39" s="28">
        <f t="shared" si="1"/>
        <v>0</v>
      </c>
    </row>
    <row r="40" spans="1:11" x14ac:dyDescent="0.25">
      <c r="A40" s="96">
        <v>43291</v>
      </c>
      <c r="B40" s="309" t="s">
        <v>539</v>
      </c>
      <c r="C40" s="217">
        <v>113</v>
      </c>
      <c r="D40" s="217">
        <v>909</v>
      </c>
      <c r="E40" s="39" t="s">
        <v>543</v>
      </c>
      <c r="F40" s="74"/>
      <c r="G40" s="39" t="s">
        <v>163</v>
      </c>
      <c r="H40" s="61"/>
      <c r="I40" s="28">
        <v>53150</v>
      </c>
      <c r="J40" s="28">
        <v>53150</v>
      </c>
      <c r="K40" s="28">
        <f t="shared" si="1"/>
        <v>0</v>
      </c>
    </row>
    <row r="41" spans="1:11" x14ac:dyDescent="0.25">
      <c r="A41" s="96">
        <v>43291</v>
      </c>
      <c r="B41" s="309" t="s">
        <v>540</v>
      </c>
      <c r="C41" s="217">
        <v>113</v>
      </c>
      <c r="D41" s="217">
        <v>910</v>
      </c>
      <c r="E41" s="39" t="s">
        <v>544</v>
      </c>
      <c r="F41" s="74"/>
      <c r="G41" s="39" t="s">
        <v>163</v>
      </c>
      <c r="H41" s="61"/>
      <c r="I41" s="28">
        <v>149400</v>
      </c>
      <c r="J41" s="28">
        <v>149400</v>
      </c>
      <c r="K41" s="28">
        <f t="shared" si="1"/>
        <v>0</v>
      </c>
    </row>
    <row r="42" spans="1:11" x14ac:dyDescent="0.25">
      <c r="A42" s="96">
        <v>43298</v>
      </c>
      <c r="B42" s="309" t="s">
        <v>548</v>
      </c>
      <c r="C42" s="217">
        <v>113</v>
      </c>
      <c r="D42" s="217">
        <v>921</v>
      </c>
      <c r="E42" s="39" t="s">
        <v>550</v>
      </c>
      <c r="F42" s="74"/>
      <c r="G42" s="39" t="s">
        <v>163</v>
      </c>
      <c r="H42" s="61"/>
      <c r="I42" s="28">
        <v>974970</v>
      </c>
      <c r="J42" s="28">
        <v>974970</v>
      </c>
      <c r="K42" s="28">
        <f t="shared" si="1"/>
        <v>0</v>
      </c>
    </row>
    <row r="43" spans="1:11" x14ac:dyDescent="0.25">
      <c r="A43" s="96">
        <v>43299</v>
      </c>
      <c r="B43" s="309" t="s">
        <v>549</v>
      </c>
      <c r="C43" s="217">
        <v>113</v>
      </c>
      <c r="D43" s="217">
        <v>922</v>
      </c>
      <c r="E43" s="39" t="s">
        <v>551</v>
      </c>
      <c r="F43" s="74"/>
      <c r="G43" s="39" t="s">
        <v>163</v>
      </c>
      <c r="H43" s="61"/>
      <c r="I43" s="28">
        <v>26652454</v>
      </c>
      <c r="J43" s="28">
        <v>26652454</v>
      </c>
      <c r="K43" s="28">
        <f>+I43-J43</f>
        <v>0</v>
      </c>
    </row>
    <row r="44" spans="1:11" x14ac:dyDescent="0.25">
      <c r="A44" s="96">
        <v>43327</v>
      </c>
      <c r="B44" s="309" t="s">
        <v>633</v>
      </c>
      <c r="C44" s="217">
        <v>113</v>
      </c>
      <c r="D44" s="217">
        <v>994</v>
      </c>
      <c r="E44" s="39" t="s">
        <v>636</v>
      </c>
      <c r="F44" s="74"/>
      <c r="G44" s="39" t="s">
        <v>163</v>
      </c>
      <c r="H44" s="61"/>
      <c r="I44" s="331">
        <v>66970</v>
      </c>
      <c r="J44" s="331">
        <v>66970</v>
      </c>
      <c r="K44" s="28">
        <f t="shared" ref="K44:K63" si="2">+I44-J44</f>
        <v>0</v>
      </c>
    </row>
    <row r="45" spans="1:11" x14ac:dyDescent="0.25">
      <c r="A45" s="96">
        <v>43327</v>
      </c>
      <c r="B45" s="309" t="s">
        <v>634</v>
      </c>
      <c r="C45" s="217">
        <v>113</v>
      </c>
      <c r="D45" s="217">
        <v>995</v>
      </c>
      <c r="E45" s="39" t="s">
        <v>637</v>
      </c>
      <c r="F45" s="74"/>
      <c r="G45" s="39" t="s">
        <v>163</v>
      </c>
      <c r="H45" s="61"/>
      <c r="I45" s="331">
        <v>229250</v>
      </c>
      <c r="J45" s="331">
        <v>229250</v>
      </c>
      <c r="K45" s="28">
        <f t="shared" si="2"/>
        <v>0</v>
      </c>
    </row>
    <row r="46" spans="1:11" x14ac:dyDescent="0.25">
      <c r="A46" s="96">
        <v>43327</v>
      </c>
      <c r="B46" s="309" t="s">
        <v>635</v>
      </c>
      <c r="C46" s="217">
        <v>113</v>
      </c>
      <c r="D46" s="217">
        <v>996</v>
      </c>
      <c r="E46" s="39" t="s">
        <v>638</v>
      </c>
      <c r="F46" s="74"/>
      <c r="G46" s="39" t="s">
        <v>163</v>
      </c>
      <c r="H46" s="61"/>
      <c r="I46" s="331">
        <v>765450</v>
      </c>
      <c r="J46" s="331">
        <v>765450</v>
      </c>
      <c r="K46" s="28">
        <f t="shared" si="2"/>
        <v>0</v>
      </c>
    </row>
    <row r="47" spans="1:11" x14ac:dyDescent="0.25">
      <c r="A47" s="96">
        <v>43329</v>
      </c>
      <c r="B47" s="309" t="s">
        <v>656</v>
      </c>
      <c r="C47" s="217">
        <v>113</v>
      </c>
      <c r="D47" s="217">
        <v>1006</v>
      </c>
      <c r="E47" s="39" t="s">
        <v>658</v>
      </c>
      <c r="F47" s="74"/>
      <c r="G47" s="39" t="s">
        <v>163</v>
      </c>
      <c r="H47" s="61"/>
      <c r="I47" s="331">
        <v>26127689</v>
      </c>
      <c r="J47" s="331">
        <v>26127689</v>
      </c>
      <c r="K47" s="28">
        <f t="shared" si="2"/>
        <v>0</v>
      </c>
    </row>
    <row r="48" spans="1:11" x14ac:dyDescent="0.25">
      <c r="A48" s="96">
        <v>43333</v>
      </c>
      <c r="B48" s="309" t="s">
        <v>657</v>
      </c>
      <c r="C48" s="217">
        <v>113</v>
      </c>
      <c r="D48" s="217">
        <v>1009</v>
      </c>
      <c r="E48" s="39" t="s">
        <v>659</v>
      </c>
      <c r="F48" s="74"/>
      <c r="G48" s="39" t="s">
        <v>163</v>
      </c>
      <c r="H48" s="61"/>
      <c r="I48" s="331">
        <v>831310</v>
      </c>
      <c r="J48" s="331">
        <v>831310</v>
      </c>
      <c r="K48" s="28">
        <f t="shared" si="2"/>
        <v>0</v>
      </c>
    </row>
    <row r="49" spans="1:11" x14ac:dyDescent="0.25">
      <c r="A49" s="96">
        <v>43348</v>
      </c>
      <c r="B49" s="309" t="s">
        <v>702</v>
      </c>
      <c r="C49" s="217">
        <v>113</v>
      </c>
      <c r="D49" s="217">
        <v>1073</v>
      </c>
      <c r="E49" s="39" t="s">
        <v>704</v>
      </c>
      <c r="F49" s="74"/>
      <c r="G49" s="39" t="s">
        <v>163</v>
      </c>
      <c r="H49" s="61"/>
      <c r="I49" s="331">
        <v>49460</v>
      </c>
      <c r="J49" s="331">
        <v>49460</v>
      </c>
      <c r="K49" s="28">
        <f t="shared" si="2"/>
        <v>0</v>
      </c>
    </row>
    <row r="50" spans="1:11" x14ac:dyDescent="0.25">
      <c r="A50" s="96">
        <v>43349</v>
      </c>
      <c r="B50" s="309" t="s">
        <v>703</v>
      </c>
      <c r="C50" s="217">
        <v>113</v>
      </c>
      <c r="D50" s="217">
        <v>1089</v>
      </c>
      <c r="E50" s="39" t="s">
        <v>705</v>
      </c>
      <c r="F50" s="74"/>
      <c r="G50" s="39" t="s">
        <v>163</v>
      </c>
      <c r="H50" s="61"/>
      <c r="I50" s="331">
        <v>652720</v>
      </c>
      <c r="J50" s="331">
        <v>652720</v>
      </c>
      <c r="K50" s="28">
        <f t="shared" si="2"/>
        <v>0</v>
      </c>
    </row>
    <row r="51" spans="1:11" x14ac:dyDescent="0.25">
      <c r="A51" s="96">
        <v>43357</v>
      </c>
      <c r="B51" s="309" t="s">
        <v>726</v>
      </c>
      <c r="C51" s="217">
        <v>113</v>
      </c>
      <c r="D51" s="217">
        <v>1308</v>
      </c>
      <c r="E51" s="39" t="s">
        <v>728</v>
      </c>
      <c r="F51" s="74"/>
      <c r="G51" s="39" t="s">
        <v>163</v>
      </c>
      <c r="H51" s="61"/>
      <c r="I51" s="331">
        <v>27512524</v>
      </c>
      <c r="J51" s="331">
        <v>27512524</v>
      </c>
      <c r="K51" s="28">
        <f t="shared" si="2"/>
        <v>0</v>
      </c>
    </row>
    <row r="52" spans="1:11" x14ac:dyDescent="0.25">
      <c r="A52" s="96">
        <v>43361</v>
      </c>
      <c r="B52" s="309" t="s">
        <v>727</v>
      </c>
      <c r="C52" s="217">
        <v>113</v>
      </c>
      <c r="D52" s="217">
        <v>1385</v>
      </c>
      <c r="E52" s="39" t="s">
        <v>729</v>
      </c>
      <c r="F52" s="74"/>
      <c r="G52" s="39" t="s">
        <v>163</v>
      </c>
      <c r="H52" s="61"/>
      <c r="I52" s="331">
        <v>903480</v>
      </c>
      <c r="J52" s="331">
        <v>903480</v>
      </c>
      <c r="K52" s="28">
        <f t="shared" si="2"/>
        <v>0</v>
      </c>
    </row>
    <row r="53" spans="1:11" x14ac:dyDescent="0.25">
      <c r="A53" s="96">
        <v>43370</v>
      </c>
      <c r="B53" s="309" t="s">
        <v>746</v>
      </c>
      <c r="C53" s="217">
        <v>113</v>
      </c>
      <c r="D53" s="217">
        <v>1497</v>
      </c>
      <c r="E53" s="39" t="s">
        <v>747</v>
      </c>
      <c r="F53" s="74"/>
      <c r="G53" s="39" t="s">
        <v>163</v>
      </c>
      <c r="H53" s="61"/>
      <c r="I53" s="331">
        <v>23500</v>
      </c>
      <c r="J53" s="331">
        <v>23500</v>
      </c>
      <c r="K53" s="28">
        <f t="shared" si="2"/>
        <v>0</v>
      </c>
    </row>
    <row r="54" spans="1:11" x14ac:dyDescent="0.25">
      <c r="A54" s="96">
        <v>43377</v>
      </c>
      <c r="B54" s="309" t="s">
        <v>764</v>
      </c>
      <c r="C54" s="217">
        <v>113</v>
      </c>
      <c r="D54" s="217">
        <v>1536</v>
      </c>
      <c r="E54" s="39" t="s">
        <v>766</v>
      </c>
      <c r="F54" s="74"/>
      <c r="G54" s="39" t="s">
        <v>163</v>
      </c>
      <c r="H54" s="61"/>
      <c r="I54" s="331">
        <v>112440</v>
      </c>
      <c r="J54" s="331">
        <v>112440</v>
      </c>
      <c r="K54" s="28">
        <f t="shared" si="2"/>
        <v>0</v>
      </c>
    </row>
    <row r="55" spans="1:11" x14ac:dyDescent="0.25">
      <c r="A55" s="96">
        <v>43381</v>
      </c>
      <c r="B55" s="309" t="s">
        <v>765</v>
      </c>
      <c r="C55" s="217">
        <v>113</v>
      </c>
      <c r="D55" s="217">
        <v>1545</v>
      </c>
      <c r="E55" s="39" t="s">
        <v>767</v>
      </c>
      <c r="F55" s="74"/>
      <c r="G55" s="39" t="s">
        <v>163</v>
      </c>
      <c r="H55" s="61"/>
      <c r="I55" s="331">
        <v>650390</v>
      </c>
      <c r="J55" s="331">
        <v>650390</v>
      </c>
      <c r="K55" s="28">
        <f t="shared" si="2"/>
        <v>0</v>
      </c>
    </row>
    <row r="56" spans="1:11" x14ac:dyDescent="0.25">
      <c r="A56" s="96">
        <v>43389</v>
      </c>
      <c r="B56" s="309" t="s">
        <v>795</v>
      </c>
      <c r="C56" s="217">
        <v>113</v>
      </c>
      <c r="D56" s="217">
        <v>1596</v>
      </c>
      <c r="E56" s="39" t="s">
        <v>797</v>
      </c>
      <c r="F56" s="74"/>
      <c r="G56" s="39" t="s">
        <v>163</v>
      </c>
      <c r="H56" s="61"/>
      <c r="I56" s="331">
        <v>26522640</v>
      </c>
      <c r="J56" s="331">
        <v>26522640</v>
      </c>
      <c r="K56" s="28">
        <f t="shared" si="2"/>
        <v>0</v>
      </c>
    </row>
    <row r="57" spans="1:11" x14ac:dyDescent="0.25">
      <c r="A57" s="96">
        <v>43390</v>
      </c>
      <c r="B57" s="309" t="s">
        <v>796</v>
      </c>
      <c r="C57" s="217">
        <v>113</v>
      </c>
      <c r="D57" s="217">
        <v>1605</v>
      </c>
      <c r="E57" s="39" t="s">
        <v>798</v>
      </c>
      <c r="F57" s="74"/>
      <c r="G57" s="39" t="s">
        <v>163</v>
      </c>
      <c r="H57" s="61"/>
      <c r="I57" s="331">
        <v>930790</v>
      </c>
      <c r="J57" s="331">
        <v>930790</v>
      </c>
      <c r="K57" s="28">
        <f t="shared" si="2"/>
        <v>0</v>
      </c>
    </row>
    <row r="58" spans="1:11" x14ac:dyDescent="0.25">
      <c r="A58" s="96">
        <v>43403</v>
      </c>
      <c r="B58" s="309" t="s">
        <v>813</v>
      </c>
      <c r="C58" s="217">
        <v>113</v>
      </c>
      <c r="D58" s="217">
        <v>1630</v>
      </c>
      <c r="E58" s="39" t="s">
        <v>814</v>
      </c>
      <c r="F58" s="74"/>
      <c r="G58" s="39" t="s">
        <v>163</v>
      </c>
      <c r="H58" s="61"/>
      <c r="I58" s="331">
        <v>45320</v>
      </c>
      <c r="J58" s="331">
        <v>45320</v>
      </c>
      <c r="K58" s="28">
        <f t="shared" si="2"/>
        <v>0</v>
      </c>
    </row>
    <row r="59" spans="1:11" x14ac:dyDescent="0.25">
      <c r="A59" s="96">
        <v>43410</v>
      </c>
      <c r="B59" s="309" t="s">
        <v>816</v>
      </c>
      <c r="C59" s="217">
        <v>113</v>
      </c>
      <c r="D59" s="217">
        <v>1648</v>
      </c>
      <c r="E59" s="39" t="s">
        <v>817</v>
      </c>
      <c r="F59" s="74"/>
      <c r="G59" s="39" t="s">
        <v>163</v>
      </c>
      <c r="H59" s="61"/>
      <c r="I59" s="331">
        <v>134050</v>
      </c>
      <c r="J59" s="331">
        <v>134050</v>
      </c>
      <c r="K59" s="28">
        <f t="shared" si="2"/>
        <v>0</v>
      </c>
    </row>
    <row r="60" spans="1:11" x14ac:dyDescent="0.25">
      <c r="A60" s="96">
        <v>43413</v>
      </c>
      <c r="B60" s="309" t="s">
        <v>832</v>
      </c>
      <c r="C60" s="217">
        <v>113</v>
      </c>
      <c r="D60" s="217">
        <v>1657</v>
      </c>
      <c r="E60" s="39" t="s">
        <v>834</v>
      </c>
      <c r="F60" s="74"/>
      <c r="G60" s="39" t="s">
        <v>163</v>
      </c>
      <c r="H60" s="61"/>
      <c r="I60" s="331">
        <v>693080</v>
      </c>
      <c r="J60" s="331">
        <v>693080</v>
      </c>
      <c r="K60" s="28">
        <f t="shared" si="2"/>
        <v>0</v>
      </c>
    </row>
    <row r="61" spans="1:11" x14ac:dyDescent="0.25">
      <c r="A61" s="96">
        <v>43418</v>
      </c>
      <c r="B61" s="309" t="s">
        <v>833</v>
      </c>
      <c r="C61" s="217">
        <v>113</v>
      </c>
      <c r="D61" s="217">
        <v>1663</v>
      </c>
      <c r="E61" s="39" t="s">
        <v>835</v>
      </c>
      <c r="F61" s="74"/>
      <c r="G61" s="39" t="s">
        <v>163</v>
      </c>
      <c r="H61" s="61"/>
      <c r="I61" s="331">
        <v>890120</v>
      </c>
      <c r="J61" s="331">
        <v>890120</v>
      </c>
      <c r="K61" s="28">
        <f t="shared" si="2"/>
        <v>0</v>
      </c>
    </row>
    <row r="62" spans="1:11" x14ac:dyDescent="0.25">
      <c r="A62" s="96">
        <v>43426</v>
      </c>
      <c r="B62" s="309" t="s">
        <v>852</v>
      </c>
      <c r="C62" s="217">
        <v>113</v>
      </c>
      <c r="D62" s="217">
        <v>1690</v>
      </c>
      <c r="E62" s="39" t="s">
        <v>854</v>
      </c>
      <c r="F62" s="74"/>
      <c r="G62" s="39" t="s">
        <v>163</v>
      </c>
      <c r="H62" s="61"/>
      <c r="I62" s="331">
        <v>28987607</v>
      </c>
      <c r="J62" s="331">
        <v>28987607</v>
      </c>
      <c r="K62" s="28">
        <f t="shared" si="2"/>
        <v>0</v>
      </c>
    </row>
    <row r="63" spans="1:11" x14ac:dyDescent="0.25">
      <c r="A63" s="96">
        <v>43432</v>
      </c>
      <c r="B63" s="309" t="s">
        <v>853</v>
      </c>
      <c r="C63" s="217">
        <v>113</v>
      </c>
      <c r="D63" s="217">
        <v>1699</v>
      </c>
      <c r="E63" s="39" t="s">
        <v>855</v>
      </c>
      <c r="F63" s="74"/>
      <c r="G63" s="39" t="s">
        <v>163</v>
      </c>
      <c r="H63" s="61"/>
      <c r="I63" s="331">
        <v>53790</v>
      </c>
      <c r="J63" s="331">
        <v>0</v>
      </c>
      <c r="K63" s="28">
        <f t="shared" si="2"/>
        <v>53790</v>
      </c>
    </row>
    <row r="64" spans="1:11" x14ac:dyDescent="0.25">
      <c r="A64" s="96"/>
      <c r="B64" s="309"/>
      <c r="C64" s="217"/>
      <c r="D64" s="217"/>
      <c r="E64" s="39"/>
      <c r="F64" s="74"/>
      <c r="G64" s="39"/>
      <c r="H64" s="61"/>
      <c r="I64" s="331"/>
      <c r="J64" s="331"/>
      <c r="K64" s="28"/>
    </row>
    <row r="65" spans="1:11" x14ac:dyDescent="0.25">
      <c r="A65" s="96"/>
      <c r="B65" s="309"/>
      <c r="C65" s="217"/>
      <c r="D65" s="217"/>
      <c r="E65" s="39"/>
      <c r="F65" s="74"/>
      <c r="G65" s="39"/>
      <c r="H65" s="61"/>
      <c r="I65" s="331"/>
      <c r="J65" s="331"/>
      <c r="K65" s="28"/>
    </row>
    <row r="66" spans="1:11" x14ac:dyDescent="0.25">
      <c r="A66" s="96"/>
      <c r="B66" s="309"/>
      <c r="C66" s="217"/>
      <c r="D66" s="217"/>
      <c r="E66" s="39"/>
      <c r="F66" s="74"/>
      <c r="G66" s="39"/>
      <c r="H66" s="61"/>
      <c r="I66" s="331"/>
      <c r="J66" s="331"/>
      <c r="K66" s="28"/>
    </row>
    <row r="67" spans="1:11" x14ac:dyDescent="0.25">
      <c r="A67" s="216"/>
      <c r="B67" s="216"/>
      <c r="C67" s="216"/>
      <c r="D67" s="216"/>
      <c r="E67" s="39"/>
      <c r="F67" s="61"/>
      <c r="G67" s="39"/>
      <c r="H67" s="61"/>
      <c r="I67" s="216"/>
      <c r="J67" s="216"/>
      <c r="K67" s="150"/>
    </row>
    <row r="68" spans="1:11" x14ac:dyDescent="0.25">
      <c r="A68" s="50"/>
      <c r="B68" s="51"/>
      <c r="C68" s="51"/>
      <c r="D68" s="51"/>
      <c r="E68" s="51"/>
      <c r="F68" s="51"/>
      <c r="G68" s="344" t="s">
        <v>131</v>
      </c>
      <c r="H68" s="345"/>
      <c r="I68" s="73">
        <f>SUM(I14:I67)</f>
        <v>317281985</v>
      </c>
      <c r="J68" s="73">
        <f t="shared" ref="J68:K68" si="3">SUM(J14:J67)</f>
        <v>317228195</v>
      </c>
      <c r="K68" s="73">
        <f t="shared" si="3"/>
        <v>53790</v>
      </c>
    </row>
    <row r="69" spans="1:11" ht="12.75" customHeight="1" x14ac:dyDescent="0.25">
      <c r="A69" s="3"/>
      <c r="B69" s="3"/>
      <c r="C69" s="3"/>
      <c r="D69" s="3"/>
      <c r="E69" s="3"/>
      <c r="F69" s="3"/>
      <c r="G69" s="3"/>
      <c r="H69" s="3"/>
      <c r="I69" s="22"/>
      <c r="J69" s="154"/>
      <c r="K69" s="51"/>
    </row>
    <row r="70" spans="1:11" ht="24.95" customHeight="1" x14ac:dyDescent="0.25">
      <c r="A70" s="284" t="s">
        <v>58</v>
      </c>
      <c r="B70" s="284" t="s">
        <v>132</v>
      </c>
      <c r="C70" s="284" t="s">
        <v>30</v>
      </c>
      <c r="D70" s="285" t="s">
        <v>59</v>
      </c>
      <c r="E70" s="284" t="s">
        <v>40</v>
      </c>
      <c r="F70" s="284" t="s">
        <v>62</v>
      </c>
      <c r="G70" s="284" t="s">
        <v>37</v>
      </c>
      <c r="H70" s="284" t="s">
        <v>60</v>
      </c>
      <c r="I70" s="284" t="s">
        <v>61</v>
      </c>
      <c r="J70" s="284" t="s">
        <v>98</v>
      </c>
      <c r="K70" s="284" t="s">
        <v>68</v>
      </c>
    </row>
    <row r="71" spans="1:11" ht="24.95" customHeight="1" x14ac:dyDescent="0.25">
      <c r="A71" s="291">
        <v>437393000</v>
      </c>
      <c r="B71" s="291">
        <v>-17000000</v>
      </c>
      <c r="C71" s="291">
        <v>0</v>
      </c>
      <c r="D71" s="287">
        <f>+A71+B71-C71</f>
        <v>420393000</v>
      </c>
      <c r="E71" s="287">
        <f>+I68</f>
        <v>317281985</v>
      </c>
      <c r="F71" s="288">
        <f>+E71/D71</f>
        <v>0.75472708870033511</v>
      </c>
      <c r="G71" s="287">
        <f>+I10</f>
        <v>103111015</v>
      </c>
      <c r="H71" s="287">
        <f>+D71-E71-G71</f>
        <v>0</v>
      </c>
      <c r="I71" s="287">
        <f>+J68</f>
        <v>317228195</v>
      </c>
      <c r="J71" s="293">
        <f>+I71/D71</f>
        <v>0.75459913699799952</v>
      </c>
      <c r="K71" s="287">
        <f>+K68</f>
        <v>53790</v>
      </c>
    </row>
    <row r="72" spans="1:11" x14ac:dyDescent="0.25">
      <c r="A72" s="290">
        <v>1</v>
      </c>
      <c r="B72" s="290">
        <v>2</v>
      </c>
      <c r="C72" s="290">
        <v>3</v>
      </c>
      <c r="D72" s="290" t="s">
        <v>42</v>
      </c>
      <c r="E72" s="290">
        <v>5</v>
      </c>
      <c r="F72" s="290" t="s">
        <v>69</v>
      </c>
      <c r="G72" s="290">
        <v>7</v>
      </c>
      <c r="H72" s="290" t="s">
        <v>70</v>
      </c>
      <c r="I72" s="290">
        <v>9</v>
      </c>
      <c r="J72" s="290" t="s">
        <v>99</v>
      </c>
      <c r="K72" s="290" t="s">
        <v>100</v>
      </c>
    </row>
  </sheetData>
  <mergeCells count="15">
    <mergeCell ref="J12:J13"/>
    <mergeCell ref="I12:I13"/>
    <mergeCell ref="A12:A13"/>
    <mergeCell ref="B5:B6"/>
    <mergeCell ref="D5:D6"/>
    <mergeCell ref="I5:I6"/>
    <mergeCell ref="J5:K6"/>
    <mergeCell ref="A5:A6"/>
    <mergeCell ref="G68:H68"/>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horizontalDpi="4294967293"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8"/>
  <sheetViews>
    <sheetView workbookViewId="0">
      <selection activeCell="K3" sqref="K3"/>
    </sheetView>
  </sheetViews>
  <sheetFormatPr baseColWidth="10" defaultRowHeight="15" x14ac:dyDescent="0.25"/>
  <cols>
    <col min="1" max="1" width="15.7109375" style="31" customWidth="1"/>
    <col min="2" max="2" width="18.28515625" style="31" customWidth="1"/>
    <col min="3" max="3" width="14.7109375" style="31" customWidth="1"/>
    <col min="4" max="9" width="15.7109375" style="31" customWidth="1"/>
    <col min="10" max="10" width="15" style="31" customWidth="1"/>
    <col min="11" max="11" width="13" style="31" customWidth="1"/>
    <col min="12" max="16384" width="11.42578125" style="31"/>
  </cols>
  <sheetData>
    <row r="1" spans="1:11" ht="12.75" customHeight="1" x14ac:dyDescent="0.25">
      <c r="A1" s="2" t="s">
        <v>97</v>
      </c>
      <c r="B1" s="2"/>
      <c r="C1" s="2"/>
      <c r="D1" s="2"/>
      <c r="E1" s="3"/>
      <c r="F1" s="2"/>
      <c r="G1" s="3"/>
      <c r="H1" s="3"/>
      <c r="I1" s="3"/>
      <c r="J1" s="3"/>
      <c r="K1" s="3"/>
    </row>
    <row r="2" spans="1:11" ht="12.75" hidden="1" customHeight="1" x14ac:dyDescent="0.25">
      <c r="A2" s="3"/>
      <c r="B2" s="3"/>
      <c r="C2" s="3"/>
      <c r="D2" s="3"/>
      <c r="E2" s="3"/>
      <c r="F2" s="3"/>
      <c r="G2" s="3"/>
      <c r="H2" s="3"/>
      <c r="I2" s="3"/>
      <c r="J2" s="3"/>
      <c r="K2" s="4"/>
    </row>
    <row r="3" spans="1:11" ht="15" customHeight="1" x14ac:dyDescent="0.25">
      <c r="A3" s="275" t="s">
        <v>110</v>
      </c>
      <c r="B3" s="278" t="s">
        <v>1</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78"/>
      <c r="B7" s="37"/>
      <c r="C7" s="38"/>
      <c r="D7" s="45"/>
      <c r="E7" s="37"/>
      <c r="F7" s="40"/>
      <c r="G7" s="41"/>
      <c r="H7" s="42"/>
      <c r="I7" s="131"/>
      <c r="J7" s="37"/>
      <c r="K7" s="38"/>
    </row>
    <row r="8" spans="1:11" ht="12.75" customHeight="1" x14ac:dyDescent="0.25">
      <c r="A8" s="78">
        <v>43104</v>
      </c>
      <c r="B8" s="39" t="s">
        <v>172</v>
      </c>
      <c r="C8" s="44"/>
      <c r="D8" s="45">
        <v>112</v>
      </c>
      <c r="E8" s="39" t="s">
        <v>174</v>
      </c>
      <c r="F8" s="32"/>
      <c r="G8" s="46"/>
      <c r="H8" s="47"/>
      <c r="I8" s="274">
        <f>123932779-192950-18584-302350-3826840-1446982-303770-9077120-173800-287850-117300-14377670-313930-86340-273260</f>
        <v>93134033</v>
      </c>
      <c r="J8" s="39" t="s">
        <v>178</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4" t="s">
        <v>131</v>
      </c>
      <c r="H10" s="345"/>
      <c r="I10" s="69">
        <f>SUM(I7:I9)</f>
        <v>93134033</v>
      </c>
      <c r="J10" s="52"/>
      <c r="K10" s="53"/>
    </row>
    <row r="11" spans="1:11" ht="12.75" customHeight="1" x14ac:dyDescent="0.25">
      <c r="A11" s="3"/>
      <c r="B11" s="3"/>
      <c r="C11" s="3"/>
      <c r="D11" s="3"/>
      <c r="E11" s="3"/>
      <c r="F11" s="3"/>
      <c r="G11" s="3"/>
      <c r="H11" s="3"/>
      <c r="I11" s="3"/>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2.75" customHeight="1" x14ac:dyDescent="0.25">
      <c r="A14" s="78">
        <v>43112</v>
      </c>
      <c r="B14" s="232" t="s">
        <v>164</v>
      </c>
      <c r="C14" s="59">
        <v>112</v>
      </c>
      <c r="D14" s="59">
        <v>137</v>
      </c>
      <c r="E14" s="37" t="s">
        <v>166</v>
      </c>
      <c r="F14" s="44"/>
      <c r="G14" t="s">
        <v>168</v>
      </c>
      <c r="H14" s="44"/>
      <c r="I14" s="226">
        <v>9461330</v>
      </c>
      <c r="J14" s="267">
        <v>9461330</v>
      </c>
      <c r="K14" s="246">
        <f>+I14-J14</f>
        <v>0</v>
      </c>
    </row>
    <row r="15" spans="1:11" ht="12.75" customHeight="1" x14ac:dyDescent="0.25">
      <c r="A15" s="78">
        <v>43112</v>
      </c>
      <c r="B15" s="232" t="s">
        <v>165</v>
      </c>
      <c r="C15" s="59">
        <v>112</v>
      </c>
      <c r="D15" s="59">
        <v>138</v>
      </c>
      <c r="E15" s="39" t="s">
        <v>167</v>
      </c>
      <c r="F15" s="44"/>
      <c r="G15" s="77" t="s">
        <v>169</v>
      </c>
      <c r="H15" s="44"/>
      <c r="I15" s="268">
        <v>17891</v>
      </c>
      <c r="J15" s="268">
        <v>17891</v>
      </c>
      <c r="K15" s="247">
        <f t="shared" ref="K15:K29" si="0">+I15-J15</f>
        <v>0</v>
      </c>
    </row>
    <row r="16" spans="1:11" ht="12.75" customHeight="1" x14ac:dyDescent="0.25">
      <c r="A16" s="78">
        <v>43129</v>
      </c>
      <c r="B16" s="232" t="s">
        <v>230</v>
      </c>
      <c r="C16" s="59">
        <v>112</v>
      </c>
      <c r="D16" s="59">
        <v>680</v>
      </c>
      <c r="E16" s="39" t="s">
        <v>231</v>
      </c>
      <c r="F16" s="44"/>
      <c r="G16" t="s">
        <v>168</v>
      </c>
      <c r="H16" s="44"/>
      <c r="I16" s="268">
        <v>192950</v>
      </c>
      <c r="J16" s="268">
        <v>192950</v>
      </c>
      <c r="K16" s="247">
        <f t="shared" si="0"/>
        <v>0</v>
      </c>
    </row>
    <row r="17" spans="1:11" ht="12.75" customHeight="1" x14ac:dyDescent="0.25">
      <c r="A17" s="78">
        <v>43139</v>
      </c>
      <c r="B17" s="232" t="s">
        <v>249</v>
      </c>
      <c r="C17" s="59">
        <v>112</v>
      </c>
      <c r="D17" s="59">
        <v>689</v>
      </c>
      <c r="E17" s="39" t="s">
        <v>250</v>
      </c>
      <c r="F17" s="44"/>
      <c r="G17" s="39" t="s">
        <v>169</v>
      </c>
      <c r="H17" s="44"/>
      <c r="I17" s="268">
        <v>18584</v>
      </c>
      <c r="J17" s="268">
        <v>18584</v>
      </c>
      <c r="K17" s="247">
        <f t="shared" si="0"/>
        <v>0</v>
      </c>
    </row>
    <row r="18" spans="1:11" ht="12.75" customHeight="1" x14ac:dyDescent="0.25">
      <c r="A18" s="78">
        <v>43152</v>
      </c>
      <c r="B18" s="232" t="s">
        <v>306</v>
      </c>
      <c r="C18" s="59">
        <v>112</v>
      </c>
      <c r="D18" s="59">
        <v>729</v>
      </c>
      <c r="E18" s="39" t="s">
        <v>307</v>
      </c>
      <c r="F18" s="44"/>
      <c r="G18" s="39" t="s">
        <v>168</v>
      </c>
      <c r="H18" s="44"/>
      <c r="I18" s="268">
        <v>302350</v>
      </c>
      <c r="J18" s="268">
        <v>302350</v>
      </c>
      <c r="K18" s="245">
        <f t="shared" si="0"/>
        <v>0</v>
      </c>
    </row>
    <row r="19" spans="1:11" ht="12.75" customHeight="1" x14ac:dyDescent="0.25">
      <c r="A19" s="78">
        <v>43161</v>
      </c>
      <c r="B19" s="232" t="s">
        <v>325</v>
      </c>
      <c r="C19" s="59">
        <v>112</v>
      </c>
      <c r="D19" s="59">
        <v>742</v>
      </c>
      <c r="E19" s="39" t="s">
        <v>327</v>
      </c>
      <c r="F19" s="44"/>
      <c r="G19" s="39" t="s">
        <v>168</v>
      </c>
      <c r="H19" s="44"/>
      <c r="I19" s="268">
        <v>3826840</v>
      </c>
      <c r="J19" s="268">
        <v>3826840</v>
      </c>
      <c r="K19" s="245">
        <f t="shared" si="0"/>
        <v>0</v>
      </c>
    </row>
    <row r="20" spans="1:11" ht="12.75" customHeight="1" x14ac:dyDescent="0.25">
      <c r="A20" s="78">
        <v>43164</v>
      </c>
      <c r="B20" s="232" t="s">
        <v>326</v>
      </c>
      <c r="C20" s="59">
        <v>112</v>
      </c>
      <c r="D20" s="59">
        <v>743</v>
      </c>
      <c r="E20" s="39" t="s">
        <v>328</v>
      </c>
      <c r="F20" s="44"/>
      <c r="G20" s="39" t="s">
        <v>168</v>
      </c>
      <c r="H20" s="44"/>
      <c r="I20" s="268">
        <v>1446982</v>
      </c>
      <c r="J20" s="268">
        <v>1446982</v>
      </c>
      <c r="K20" s="245">
        <f t="shared" si="0"/>
        <v>0</v>
      </c>
    </row>
    <row r="21" spans="1:11" ht="12.75" customHeight="1" x14ac:dyDescent="0.25">
      <c r="A21" s="78">
        <v>43206</v>
      </c>
      <c r="B21" s="232" t="s">
        <v>404</v>
      </c>
      <c r="C21" s="59">
        <v>112</v>
      </c>
      <c r="D21" s="59">
        <v>788</v>
      </c>
      <c r="E21" s="39" t="s">
        <v>405</v>
      </c>
      <c r="F21" s="44"/>
      <c r="G21" s="39" t="s">
        <v>168</v>
      </c>
      <c r="H21" s="44"/>
      <c r="I21" s="268">
        <v>303770</v>
      </c>
      <c r="J21" s="268">
        <v>303770</v>
      </c>
      <c r="K21" s="245">
        <f t="shared" si="0"/>
        <v>0</v>
      </c>
    </row>
    <row r="22" spans="1:11" ht="12.75" customHeight="1" x14ac:dyDescent="0.25">
      <c r="A22" s="78">
        <v>43209</v>
      </c>
      <c r="B22" s="232" t="s">
        <v>413</v>
      </c>
      <c r="C22" s="59">
        <v>112</v>
      </c>
      <c r="D22" s="59">
        <v>799</v>
      </c>
      <c r="E22" s="39" t="s">
        <v>414</v>
      </c>
      <c r="F22" s="44"/>
      <c r="G22" s="39" t="s">
        <v>168</v>
      </c>
      <c r="H22" s="44"/>
      <c r="I22" s="268">
        <v>9077120</v>
      </c>
      <c r="J22" s="317">
        <v>9077120</v>
      </c>
      <c r="K22" s="245">
        <f t="shared" si="0"/>
        <v>0</v>
      </c>
    </row>
    <row r="23" spans="1:11" ht="12.75" customHeight="1" x14ac:dyDescent="0.25">
      <c r="A23" s="78">
        <v>43215</v>
      </c>
      <c r="B23" s="232" t="s">
        <v>424</v>
      </c>
      <c r="C23" s="59">
        <v>112</v>
      </c>
      <c r="D23" s="59">
        <v>806</v>
      </c>
      <c r="E23" s="39" t="s">
        <v>425</v>
      </c>
      <c r="F23" s="44"/>
      <c r="G23" s="39" t="s">
        <v>168</v>
      </c>
      <c r="H23" s="44"/>
      <c r="I23" s="268">
        <v>173800</v>
      </c>
      <c r="J23" s="317">
        <v>173800</v>
      </c>
      <c r="K23" s="245">
        <f t="shared" si="0"/>
        <v>0</v>
      </c>
    </row>
    <row r="24" spans="1:11" ht="12.75" customHeight="1" x14ac:dyDescent="0.25">
      <c r="A24" s="78">
        <v>43276</v>
      </c>
      <c r="B24" s="323">
        <v>2672690051</v>
      </c>
      <c r="C24" s="59">
        <v>112</v>
      </c>
      <c r="D24" s="59">
        <v>892</v>
      </c>
      <c r="E24" s="39" t="s">
        <v>525</v>
      </c>
      <c r="F24" s="44"/>
      <c r="G24" s="39" t="s">
        <v>168</v>
      </c>
      <c r="H24" s="44"/>
      <c r="I24" s="268">
        <v>287850</v>
      </c>
      <c r="J24" s="317">
        <v>287850</v>
      </c>
      <c r="K24" s="245">
        <f t="shared" si="0"/>
        <v>0</v>
      </c>
    </row>
    <row r="25" spans="1:11" ht="12.75" customHeight="1" x14ac:dyDescent="0.25">
      <c r="A25" s="78">
        <v>43276</v>
      </c>
      <c r="B25" s="323">
        <v>3074068211</v>
      </c>
      <c r="C25" s="59">
        <v>112</v>
      </c>
      <c r="D25" s="59">
        <v>893</v>
      </c>
      <c r="E25" s="39" t="s">
        <v>526</v>
      </c>
      <c r="F25" s="44"/>
      <c r="G25" s="39" t="s">
        <v>168</v>
      </c>
      <c r="H25" s="44"/>
      <c r="I25" s="268">
        <v>117300</v>
      </c>
      <c r="J25" s="317">
        <v>117300</v>
      </c>
      <c r="K25" s="245">
        <f t="shared" si="0"/>
        <v>0</v>
      </c>
    </row>
    <row r="26" spans="1:11" ht="12.75" customHeight="1" x14ac:dyDescent="0.25">
      <c r="A26" s="78">
        <v>43334</v>
      </c>
      <c r="B26" s="323">
        <v>3415060861</v>
      </c>
      <c r="C26" s="59">
        <v>112</v>
      </c>
      <c r="D26" s="59">
        <v>1017</v>
      </c>
      <c r="E26" s="39" t="s">
        <v>660</v>
      </c>
      <c r="F26" s="44"/>
      <c r="G26" s="39" t="s">
        <v>168</v>
      </c>
      <c r="H26" s="44"/>
      <c r="I26" s="268">
        <v>14377670</v>
      </c>
      <c r="J26" s="317">
        <v>14377670</v>
      </c>
      <c r="K26" s="245">
        <f t="shared" si="0"/>
        <v>0</v>
      </c>
    </row>
    <row r="27" spans="1:11" ht="12.75" customHeight="1" x14ac:dyDescent="0.25">
      <c r="A27" s="78">
        <v>43334</v>
      </c>
      <c r="B27" s="323">
        <v>2607498511</v>
      </c>
      <c r="C27" s="59">
        <v>112</v>
      </c>
      <c r="D27" s="59">
        <v>1018</v>
      </c>
      <c r="E27" s="39" t="s">
        <v>661</v>
      </c>
      <c r="F27" s="44"/>
      <c r="G27" s="39" t="s">
        <v>168</v>
      </c>
      <c r="H27" s="44"/>
      <c r="I27" s="268">
        <v>313930</v>
      </c>
      <c r="J27" s="317">
        <v>313930</v>
      </c>
      <c r="K27" s="245">
        <f t="shared" si="0"/>
        <v>0</v>
      </c>
    </row>
    <row r="28" spans="1:11" ht="12.75" customHeight="1" x14ac:dyDescent="0.25">
      <c r="A28" s="78">
        <v>43346</v>
      </c>
      <c r="B28" s="323">
        <v>3075769321</v>
      </c>
      <c r="C28" s="59">
        <v>112</v>
      </c>
      <c r="D28" s="59">
        <v>1057</v>
      </c>
      <c r="E28" s="39" t="s">
        <v>706</v>
      </c>
      <c r="F28" s="44"/>
      <c r="G28" s="39" t="s">
        <v>168</v>
      </c>
      <c r="H28" s="44"/>
      <c r="I28" s="268">
        <v>86340</v>
      </c>
      <c r="J28" s="317">
        <v>86340</v>
      </c>
      <c r="K28" s="245">
        <f t="shared" si="0"/>
        <v>0</v>
      </c>
    </row>
    <row r="29" spans="1:11" ht="13.5" customHeight="1" x14ac:dyDescent="0.25">
      <c r="A29" s="78">
        <v>43389</v>
      </c>
      <c r="B29" s="323">
        <v>3416181821</v>
      </c>
      <c r="C29" s="59">
        <v>112</v>
      </c>
      <c r="D29" s="59">
        <v>1597</v>
      </c>
      <c r="E29" s="39" t="s">
        <v>799</v>
      </c>
      <c r="F29" s="44"/>
      <c r="G29" s="39" t="s">
        <v>168</v>
      </c>
      <c r="H29" s="44"/>
      <c r="I29" s="268">
        <v>273260</v>
      </c>
      <c r="J29" s="317">
        <v>273260</v>
      </c>
      <c r="K29" s="245">
        <f t="shared" si="0"/>
        <v>0</v>
      </c>
    </row>
    <row r="30" spans="1:11" ht="12.75" customHeight="1" x14ac:dyDescent="0.25">
      <c r="A30" s="43"/>
      <c r="B30" s="36"/>
      <c r="C30" s="59"/>
      <c r="D30" s="59"/>
      <c r="E30" s="39"/>
      <c r="F30" s="61"/>
      <c r="G30" s="132"/>
      <c r="H30" s="44"/>
      <c r="I30" s="268"/>
      <c r="J30" s="269"/>
      <c r="K30" s="70"/>
    </row>
    <row r="31" spans="1:11" x14ac:dyDescent="0.25">
      <c r="A31" s="50"/>
      <c r="B31" s="51"/>
      <c r="C31" s="51"/>
      <c r="D31" s="51"/>
      <c r="E31" s="51"/>
      <c r="F31" s="51"/>
      <c r="G31" s="344" t="s">
        <v>131</v>
      </c>
      <c r="H31" s="345"/>
      <c r="I31" s="65">
        <f>SUM(I14:I30)</f>
        <v>40277967</v>
      </c>
      <c r="J31" s="65">
        <f>SUM(J14:J30)</f>
        <v>40277967</v>
      </c>
      <c r="K31" s="73">
        <f>SUM(K14:K30)</f>
        <v>0</v>
      </c>
    </row>
    <row r="32" spans="1:11" ht="12.75" customHeight="1" x14ac:dyDescent="0.25">
      <c r="A32" s="3"/>
      <c r="B32" s="3"/>
      <c r="C32" s="3"/>
      <c r="D32" s="3"/>
      <c r="E32" s="3"/>
      <c r="F32" s="3"/>
      <c r="G32" s="3"/>
      <c r="H32" s="3"/>
      <c r="I32" s="86"/>
      <c r="J32" s="86"/>
      <c r="K32" s="51"/>
    </row>
    <row r="33" spans="1:11" ht="24.95" customHeight="1" x14ac:dyDescent="0.25">
      <c r="A33" s="284" t="s">
        <v>58</v>
      </c>
      <c r="B33" s="284" t="s">
        <v>132</v>
      </c>
      <c r="C33" s="284" t="s">
        <v>30</v>
      </c>
      <c r="D33" s="285" t="s">
        <v>59</v>
      </c>
      <c r="E33" s="284" t="s">
        <v>40</v>
      </c>
      <c r="F33" s="284" t="s">
        <v>62</v>
      </c>
      <c r="G33" s="284" t="s">
        <v>37</v>
      </c>
      <c r="H33" s="284" t="s">
        <v>60</v>
      </c>
      <c r="I33" s="284" t="s">
        <v>61</v>
      </c>
      <c r="J33" s="284" t="s">
        <v>98</v>
      </c>
      <c r="K33" s="284" t="s">
        <v>68</v>
      </c>
    </row>
    <row r="34" spans="1:11" ht="24.95" customHeight="1" x14ac:dyDescent="0.25">
      <c r="A34" s="291">
        <v>133412000</v>
      </c>
      <c r="B34" s="291"/>
      <c r="C34" s="291">
        <v>0</v>
      </c>
      <c r="D34" s="287">
        <f>+A34+B34-C34</f>
        <v>133412000</v>
      </c>
      <c r="E34" s="292">
        <f>+I31</f>
        <v>40277967</v>
      </c>
      <c r="F34" s="288">
        <f>+E34/D34</f>
        <v>0.30190662758972209</v>
      </c>
      <c r="G34" s="292">
        <f>+I10</f>
        <v>93134033</v>
      </c>
      <c r="H34" s="292">
        <f>+D34-E34-G34</f>
        <v>0</v>
      </c>
      <c r="I34" s="292">
        <f>+J31</f>
        <v>40277967</v>
      </c>
      <c r="J34" s="293">
        <f>+I34/D34</f>
        <v>0.30190662758972209</v>
      </c>
      <c r="K34" s="292">
        <f>+K31</f>
        <v>0</v>
      </c>
    </row>
    <row r="35" spans="1:11" x14ac:dyDescent="0.25">
      <c r="A35" s="290">
        <v>1</v>
      </c>
      <c r="B35" s="290">
        <v>2</v>
      </c>
      <c r="C35" s="290">
        <v>3</v>
      </c>
      <c r="D35" s="290" t="s">
        <v>42</v>
      </c>
      <c r="E35" s="290">
        <v>5</v>
      </c>
      <c r="F35" s="290" t="s">
        <v>69</v>
      </c>
      <c r="G35" s="290">
        <v>7</v>
      </c>
      <c r="H35" s="290" t="s">
        <v>70</v>
      </c>
      <c r="I35" s="290">
        <v>9</v>
      </c>
      <c r="J35" s="290" t="s">
        <v>99</v>
      </c>
      <c r="K35" s="290" t="s">
        <v>100</v>
      </c>
    </row>
    <row r="38" spans="1:11" x14ac:dyDescent="0.25">
      <c r="E38" s="212"/>
    </row>
  </sheetData>
  <mergeCells count="15">
    <mergeCell ref="G31:H31"/>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9"/>
  <sheetViews>
    <sheetView workbookViewId="0">
      <selection activeCell="I10" sqref="I10"/>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111</v>
      </c>
      <c r="B3" s="275" t="s">
        <v>2</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78"/>
      <c r="B7" s="132"/>
      <c r="C7" s="103"/>
      <c r="D7" s="114"/>
      <c r="E7" s="60"/>
      <c r="F7" s="104"/>
      <c r="G7" s="104"/>
      <c r="H7" s="223"/>
      <c r="I7" s="227"/>
      <c r="J7" s="124"/>
      <c r="K7" s="103"/>
    </row>
    <row r="8" spans="1:11" ht="12.75" customHeight="1" x14ac:dyDescent="0.25">
      <c r="A8" s="78">
        <v>43104</v>
      </c>
      <c r="B8" s="132" t="s">
        <v>172</v>
      </c>
      <c r="C8" s="103"/>
      <c r="D8" s="114">
        <v>115</v>
      </c>
      <c r="E8" s="60" t="s">
        <v>175</v>
      </c>
      <c r="F8" s="104"/>
      <c r="G8" s="104"/>
      <c r="H8" s="223"/>
      <c r="I8" s="227">
        <f>12804400-91889-1774970-1020129-92773-7261093-76235-42233-1245352-67450-78090-191950-140690-92290</f>
        <v>629256</v>
      </c>
      <c r="J8" s="124" t="s">
        <v>178</v>
      </c>
      <c r="K8" s="103"/>
    </row>
    <row r="9" spans="1:11" ht="12.75" customHeight="1" x14ac:dyDescent="0.25">
      <c r="A9" s="78">
        <v>43382</v>
      </c>
      <c r="B9" s="132" t="s">
        <v>172</v>
      </c>
      <c r="C9" s="103"/>
      <c r="D9" s="114">
        <v>1421</v>
      </c>
      <c r="E9" s="60" t="s">
        <v>770</v>
      </c>
      <c r="F9" s="104"/>
      <c r="G9" s="104"/>
      <c r="H9" s="223"/>
      <c r="I9" s="227">
        <f>17000000-3987100-98320-2885659</f>
        <v>10028921</v>
      </c>
      <c r="J9" s="124" t="s">
        <v>178</v>
      </c>
      <c r="K9" s="103"/>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4" t="s">
        <v>131</v>
      </c>
      <c r="H11" s="345"/>
      <c r="I11" s="69">
        <f>SUM(I7:I10)</f>
        <v>10658177</v>
      </c>
      <c r="J11" s="52"/>
      <c r="K11" s="53"/>
    </row>
    <row r="12" spans="1:11" ht="12.75" customHeight="1" x14ac:dyDescent="0.25">
      <c r="A12" s="3"/>
      <c r="B12" s="3"/>
      <c r="C12" s="3"/>
      <c r="D12" s="3"/>
      <c r="E12" s="3"/>
      <c r="F12" s="3"/>
      <c r="G12" s="3"/>
      <c r="H12" s="3"/>
      <c r="I12" s="86"/>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ht="12.75" customHeight="1" x14ac:dyDescent="0.25">
      <c r="A15" s="78">
        <v>43112</v>
      </c>
      <c r="B15" s="232" t="s">
        <v>170</v>
      </c>
      <c r="C15" s="59">
        <v>115</v>
      </c>
      <c r="D15" s="59">
        <v>139</v>
      </c>
      <c r="E15" s="39" t="s">
        <v>171</v>
      </c>
      <c r="F15" s="44"/>
      <c r="G15" s="39" t="s">
        <v>168</v>
      </c>
      <c r="H15" s="44"/>
      <c r="I15" s="270">
        <v>4195600</v>
      </c>
      <c r="J15" s="224">
        <v>4195600</v>
      </c>
      <c r="K15" s="70">
        <f>+I15-J15</f>
        <v>0</v>
      </c>
    </row>
    <row r="16" spans="1:11" ht="12.75" customHeight="1" x14ac:dyDescent="0.25">
      <c r="A16" s="78">
        <v>43130</v>
      </c>
      <c r="B16" s="232" t="s">
        <v>232</v>
      </c>
      <c r="C16" s="59">
        <v>115</v>
      </c>
      <c r="D16" s="59">
        <v>681</v>
      </c>
      <c r="E16" s="39" t="s">
        <v>233</v>
      </c>
      <c r="F16" s="44"/>
      <c r="G16" s="39" t="s">
        <v>168</v>
      </c>
      <c r="H16" s="44"/>
      <c r="I16" s="233">
        <v>91889</v>
      </c>
      <c r="J16" s="233">
        <v>91889</v>
      </c>
      <c r="K16" s="70">
        <f t="shared" ref="K16:K17" si="0">+I16-J16</f>
        <v>0</v>
      </c>
    </row>
    <row r="17" spans="1:11" ht="12.75" customHeight="1" x14ac:dyDescent="0.25">
      <c r="A17" s="78">
        <v>43161</v>
      </c>
      <c r="B17" s="232" t="s">
        <v>329</v>
      </c>
      <c r="C17" s="59">
        <v>115</v>
      </c>
      <c r="D17" s="59">
        <v>738</v>
      </c>
      <c r="E17" s="39" t="s">
        <v>331</v>
      </c>
      <c r="F17" s="44"/>
      <c r="G17" s="39" t="s">
        <v>168</v>
      </c>
      <c r="H17" s="44"/>
      <c r="I17" s="233">
        <v>1774970</v>
      </c>
      <c r="J17" s="233">
        <v>1774970</v>
      </c>
      <c r="K17" s="70">
        <f t="shared" si="0"/>
        <v>0</v>
      </c>
    </row>
    <row r="18" spans="1:11" ht="12.75" customHeight="1" x14ac:dyDescent="0.25">
      <c r="A18" s="78">
        <v>43165</v>
      </c>
      <c r="B18" s="232" t="s">
        <v>330</v>
      </c>
      <c r="C18" s="59">
        <v>115</v>
      </c>
      <c r="D18" s="59">
        <v>747</v>
      </c>
      <c r="E18" s="39" t="s">
        <v>332</v>
      </c>
      <c r="F18" s="61"/>
      <c r="G18" s="39" t="s">
        <v>168</v>
      </c>
      <c r="H18" s="61"/>
      <c r="I18" s="234">
        <v>1020129</v>
      </c>
      <c r="J18" s="234">
        <v>1020129</v>
      </c>
      <c r="K18" s="70">
        <f t="shared" ref="K18:K29" si="1">+I18-J18</f>
        <v>0</v>
      </c>
    </row>
    <row r="19" spans="1:11" ht="12.75" customHeight="1" x14ac:dyDescent="0.25">
      <c r="A19" s="78">
        <v>43206</v>
      </c>
      <c r="B19" s="232" t="s">
        <v>406</v>
      </c>
      <c r="C19" s="59">
        <v>115</v>
      </c>
      <c r="D19" s="59">
        <v>789</v>
      </c>
      <c r="E19" s="39" t="s">
        <v>407</v>
      </c>
      <c r="F19" s="61"/>
      <c r="G19" s="39" t="s">
        <v>168</v>
      </c>
      <c r="H19" s="61"/>
      <c r="I19" s="234">
        <v>92773</v>
      </c>
      <c r="J19" s="234">
        <v>92773</v>
      </c>
      <c r="K19" s="70">
        <f t="shared" si="1"/>
        <v>0</v>
      </c>
    </row>
    <row r="20" spans="1:11" ht="12.75" customHeight="1" x14ac:dyDescent="0.25">
      <c r="A20" s="78">
        <v>43209</v>
      </c>
      <c r="B20" s="232" t="s">
        <v>415</v>
      </c>
      <c r="C20" s="59">
        <v>115</v>
      </c>
      <c r="D20" s="59">
        <v>800</v>
      </c>
      <c r="E20" s="39" t="s">
        <v>416</v>
      </c>
      <c r="F20" s="61"/>
      <c r="G20" s="39" t="s">
        <v>168</v>
      </c>
      <c r="H20" s="61"/>
      <c r="I20" s="234">
        <v>7261093</v>
      </c>
      <c r="J20" s="234">
        <v>7261093</v>
      </c>
      <c r="K20" s="70">
        <f t="shared" si="1"/>
        <v>0</v>
      </c>
    </row>
    <row r="21" spans="1:11" ht="12.75" customHeight="1" x14ac:dyDescent="0.25">
      <c r="A21" s="78">
        <v>43216</v>
      </c>
      <c r="B21" s="232" t="s">
        <v>429</v>
      </c>
      <c r="C21" s="59">
        <v>115</v>
      </c>
      <c r="D21" s="59">
        <v>808</v>
      </c>
      <c r="E21" s="39" t="s">
        <v>430</v>
      </c>
      <c r="F21" s="61"/>
      <c r="G21" s="39" t="s">
        <v>168</v>
      </c>
      <c r="H21" s="61"/>
      <c r="I21" s="234">
        <v>76235</v>
      </c>
      <c r="J21" s="234">
        <v>76235</v>
      </c>
      <c r="K21" s="70">
        <f t="shared" si="1"/>
        <v>0</v>
      </c>
    </row>
    <row r="22" spans="1:11" ht="12.75" customHeight="1" x14ac:dyDescent="0.25">
      <c r="A22" s="78">
        <v>43326</v>
      </c>
      <c r="B22" s="232" t="s">
        <v>639</v>
      </c>
      <c r="C22" s="59">
        <v>115</v>
      </c>
      <c r="D22" s="59">
        <v>990</v>
      </c>
      <c r="E22" s="39" t="s">
        <v>642</v>
      </c>
      <c r="F22" s="61"/>
      <c r="G22" s="39" t="s">
        <v>168</v>
      </c>
      <c r="H22" s="61"/>
      <c r="I22" s="234">
        <v>42233</v>
      </c>
      <c r="J22" s="234">
        <v>42233</v>
      </c>
      <c r="K22" s="70">
        <f t="shared" si="1"/>
        <v>0</v>
      </c>
    </row>
    <row r="23" spans="1:11" ht="12.75" customHeight="1" x14ac:dyDescent="0.25">
      <c r="A23" s="78">
        <v>43326</v>
      </c>
      <c r="B23" s="232" t="s">
        <v>640</v>
      </c>
      <c r="C23" s="59">
        <v>115</v>
      </c>
      <c r="D23" s="59">
        <v>991</v>
      </c>
      <c r="E23" s="39" t="s">
        <v>643</v>
      </c>
      <c r="F23" s="61"/>
      <c r="G23" s="39" t="s">
        <v>168</v>
      </c>
      <c r="H23" s="61"/>
      <c r="I23" s="234">
        <v>1245352</v>
      </c>
      <c r="J23" s="234">
        <v>1245352</v>
      </c>
      <c r="K23" s="70">
        <f t="shared" si="1"/>
        <v>0</v>
      </c>
    </row>
    <row r="24" spans="1:11" ht="12.75" customHeight="1" x14ac:dyDescent="0.25">
      <c r="A24" s="78">
        <v>43326</v>
      </c>
      <c r="B24" s="232" t="s">
        <v>641</v>
      </c>
      <c r="C24" s="59">
        <v>115</v>
      </c>
      <c r="D24" s="59">
        <v>992</v>
      </c>
      <c r="E24" s="39" t="s">
        <v>644</v>
      </c>
      <c r="F24" s="61"/>
      <c r="G24" s="39" t="s">
        <v>645</v>
      </c>
      <c r="H24" s="61"/>
      <c r="I24" s="234">
        <v>67450</v>
      </c>
      <c r="J24" s="234">
        <v>67450</v>
      </c>
      <c r="K24" s="70">
        <f t="shared" si="1"/>
        <v>0</v>
      </c>
    </row>
    <row r="25" spans="1:11" ht="12.75" customHeight="1" x14ac:dyDescent="0.25">
      <c r="A25" s="78">
        <v>43334</v>
      </c>
      <c r="B25" s="232" t="s">
        <v>662</v>
      </c>
      <c r="C25" s="59">
        <v>115</v>
      </c>
      <c r="D25" s="59">
        <v>1023</v>
      </c>
      <c r="E25" s="39" t="s">
        <v>663</v>
      </c>
      <c r="F25" s="61"/>
      <c r="G25" s="39" t="s">
        <v>664</v>
      </c>
      <c r="H25" s="61"/>
      <c r="I25" s="234">
        <v>78090</v>
      </c>
      <c r="J25" s="234">
        <v>78090</v>
      </c>
      <c r="K25" s="70">
        <f t="shared" si="1"/>
        <v>0</v>
      </c>
    </row>
    <row r="26" spans="1:11" ht="12.75" customHeight="1" x14ac:dyDescent="0.25">
      <c r="A26" s="78">
        <v>43340</v>
      </c>
      <c r="B26" s="232" t="s">
        <v>685</v>
      </c>
      <c r="C26" s="59">
        <v>115</v>
      </c>
      <c r="D26" s="59">
        <v>1027</v>
      </c>
      <c r="E26" s="39" t="s">
        <v>686</v>
      </c>
      <c r="F26" s="61"/>
      <c r="G26" s="39" t="s">
        <v>664</v>
      </c>
      <c r="H26" s="61"/>
      <c r="I26" s="234">
        <v>191950</v>
      </c>
      <c r="J26" s="234">
        <v>191950</v>
      </c>
      <c r="K26" s="70">
        <f t="shared" si="1"/>
        <v>0</v>
      </c>
    </row>
    <row r="27" spans="1:11" ht="12.75" customHeight="1" x14ac:dyDescent="0.25">
      <c r="A27" s="78">
        <v>43361</v>
      </c>
      <c r="B27" s="232" t="s">
        <v>730</v>
      </c>
      <c r="C27" s="59">
        <v>115</v>
      </c>
      <c r="D27" s="59">
        <v>1384</v>
      </c>
      <c r="E27" s="39" t="s">
        <v>731</v>
      </c>
      <c r="F27" s="61"/>
      <c r="G27" s="39" t="s">
        <v>664</v>
      </c>
      <c r="H27" s="61"/>
      <c r="I27" s="234">
        <v>140690</v>
      </c>
      <c r="J27" s="234">
        <v>140690</v>
      </c>
      <c r="K27" s="70">
        <f t="shared" si="1"/>
        <v>0</v>
      </c>
    </row>
    <row r="28" spans="1:11" ht="12.75" customHeight="1" x14ac:dyDescent="0.25">
      <c r="A28" s="78">
        <v>43374</v>
      </c>
      <c r="B28" s="232" t="s">
        <v>768</v>
      </c>
      <c r="C28" s="59">
        <v>115</v>
      </c>
      <c r="D28" s="59">
        <v>1513</v>
      </c>
      <c r="E28" s="39" t="s">
        <v>769</v>
      </c>
      <c r="F28" s="61"/>
      <c r="G28" s="39" t="s">
        <v>664</v>
      </c>
      <c r="H28" s="61"/>
      <c r="I28" s="234">
        <v>92290</v>
      </c>
      <c r="J28" s="234">
        <v>92290</v>
      </c>
      <c r="K28" s="70">
        <f t="shared" si="1"/>
        <v>0</v>
      </c>
    </row>
    <row r="29" spans="1:11" ht="12.75" customHeight="1" x14ac:dyDescent="0.25">
      <c r="A29" s="78">
        <v>43385</v>
      </c>
      <c r="B29" s="232" t="s">
        <v>782</v>
      </c>
      <c r="C29" s="59">
        <v>1421</v>
      </c>
      <c r="D29" s="59">
        <v>1590</v>
      </c>
      <c r="E29" s="39" t="s">
        <v>783</v>
      </c>
      <c r="F29" s="61"/>
      <c r="G29" s="39" t="s">
        <v>664</v>
      </c>
      <c r="H29" s="61"/>
      <c r="I29" s="234">
        <v>3987100</v>
      </c>
      <c r="J29" s="234">
        <v>3987100</v>
      </c>
      <c r="K29" s="70">
        <f t="shared" si="1"/>
        <v>0</v>
      </c>
    </row>
    <row r="30" spans="1:11" ht="12.75" customHeight="1" x14ac:dyDescent="0.25">
      <c r="A30" s="78">
        <v>43424</v>
      </c>
      <c r="B30" s="232" t="s">
        <v>839</v>
      </c>
      <c r="C30" s="59">
        <v>1421</v>
      </c>
      <c r="D30" s="59">
        <v>1678</v>
      </c>
      <c r="E30" s="39" t="s">
        <v>840</v>
      </c>
      <c r="F30" s="61"/>
      <c r="G30" s="39" t="s">
        <v>645</v>
      </c>
      <c r="H30" s="61"/>
      <c r="I30" s="234">
        <v>98320</v>
      </c>
      <c r="J30" s="234">
        <v>98320</v>
      </c>
      <c r="K30" s="70"/>
    </row>
    <row r="31" spans="1:11" ht="12.75" customHeight="1" x14ac:dyDescent="0.25">
      <c r="A31" s="78">
        <v>43426</v>
      </c>
      <c r="B31" s="232" t="s">
        <v>856</v>
      </c>
      <c r="C31" s="59">
        <v>1421</v>
      </c>
      <c r="D31" s="59">
        <v>1689</v>
      </c>
      <c r="E31" s="39" t="s">
        <v>857</v>
      </c>
      <c r="F31" s="61"/>
      <c r="G31" s="39" t="s">
        <v>858</v>
      </c>
      <c r="H31" s="61"/>
      <c r="I31" s="234">
        <v>2885659</v>
      </c>
      <c r="J31" s="234">
        <v>2885659</v>
      </c>
      <c r="K31" s="70"/>
    </row>
    <row r="32" spans="1:11" ht="12.75" customHeight="1" x14ac:dyDescent="0.25">
      <c r="A32" s="78"/>
      <c r="B32" s="232"/>
      <c r="C32" s="59"/>
      <c r="D32" s="59"/>
      <c r="E32" s="39"/>
      <c r="F32" s="61"/>
      <c r="G32" s="60"/>
      <c r="H32" s="61"/>
      <c r="I32" s="234"/>
      <c r="J32" s="234"/>
      <c r="K32" s="70"/>
    </row>
    <row r="33" spans="1:11" x14ac:dyDescent="0.25">
      <c r="A33" s="50"/>
      <c r="B33" s="51"/>
      <c r="C33" s="51"/>
      <c r="D33" s="51"/>
      <c r="E33" s="51"/>
      <c r="F33" s="51"/>
      <c r="G33" s="344" t="s">
        <v>131</v>
      </c>
      <c r="H33" s="345"/>
      <c r="I33" s="73">
        <f>SUM(I15:I32)</f>
        <v>23341823</v>
      </c>
      <c r="J33" s="73">
        <f>SUM(J15:J32)</f>
        <v>23341823</v>
      </c>
      <c r="K33" s="73">
        <f>SUM(K15:K32)</f>
        <v>0</v>
      </c>
    </row>
    <row r="34" spans="1:11" ht="12.75" customHeight="1" x14ac:dyDescent="0.25">
      <c r="A34" s="3"/>
      <c r="B34" s="3"/>
      <c r="C34" s="3"/>
      <c r="D34" s="3"/>
      <c r="E34" s="3"/>
      <c r="F34" s="3"/>
      <c r="G34" s="3"/>
      <c r="H34" s="3"/>
      <c r="I34" s="3"/>
      <c r="J34" s="82"/>
      <c r="K34" s="51"/>
    </row>
    <row r="35" spans="1:11" ht="24.95" customHeight="1" x14ac:dyDescent="0.25">
      <c r="A35" s="284" t="s">
        <v>58</v>
      </c>
      <c r="B35" s="284" t="s">
        <v>132</v>
      </c>
      <c r="C35" s="284" t="s">
        <v>30</v>
      </c>
      <c r="D35" s="285" t="s">
        <v>59</v>
      </c>
      <c r="E35" s="284" t="s">
        <v>40</v>
      </c>
      <c r="F35" s="284" t="s">
        <v>62</v>
      </c>
      <c r="G35" s="284" t="s">
        <v>37</v>
      </c>
      <c r="H35" s="284" t="s">
        <v>60</v>
      </c>
      <c r="I35" s="284" t="s">
        <v>61</v>
      </c>
      <c r="J35" s="284" t="s">
        <v>98</v>
      </c>
      <c r="K35" s="284" t="s">
        <v>68</v>
      </c>
    </row>
    <row r="36" spans="1:11" ht="24.95" customHeight="1" x14ac:dyDescent="0.25">
      <c r="A36" s="291">
        <v>17000000</v>
      </c>
      <c r="B36" s="296">
        <v>17000000</v>
      </c>
      <c r="C36" s="291">
        <v>0</v>
      </c>
      <c r="D36" s="287">
        <f>+A36+B36-C36</f>
        <v>34000000</v>
      </c>
      <c r="E36" s="287">
        <f>+I33</f>
        <v>23341823</v>
      </c>
      <c r="F36" s="288">
        <f>+E36/D36</f>
        <v>0.68652420588235297</v>
      </c>
      <c r="G36" s="287">
        <f>+I11</f>
        <v>10658177</v>
      </c>
      <c r="H36" s="287">
        <f>+D36-E36-G36</f>
        <v>0</v>
      </c>
      <c r="I36" s="287">
        <f>+J33</f>
        <v>23341823</v>
      </c>
      <c r="J36" s="293">
        <f>+I36/D36</f>
        <v>0.68652420588235297</v>
      </c>
      <c r="K36" s="287">
        <f>+K33</f>
        <v>0</v>
      </c>
    </row>
    <row r="37" spans="1:11" x14ac:dyDescent="0.25">
      <c r="A37" s="290">
        <v>1</v>
      </c>
      <c r="B37" s="290">
        <v>2</v>
      </c>
      <c r="C37" s="290">
        <v>3</v>
      </c>
      <c r="D37" s="290" t="s">
        <v>42</v>
      </c>
      <c r="E37" s="290">
        <v>5</v>
      </c>
      <c r="F37" s="290" t="s">
        <v>69</v>
      </c>
      <c r="G37" s="290">
        <v>7</v>
      </c>
      <c r="H37" s="290" t="s">
        <v>70</v>
      </c>
      <c r="I37" s="290">
        <v>9</v>
      </c>
      <c r="J37" s="290" t="s">
        <v>99</v>
      </c>
      <c r="K37" s="290" t="s">
        <v>100</v>
      </c>
    </row>
    <row r="39" spans="1:11" x14ac:dyDescent="0.25">
      <c r="G39" s="211"/>
    </row>
  </sheetData>
  <mergeCells count="15">
    <mergeCell ref="G33:H33"/>
    <mergeCell ref="E13:H13"/>
    <mergeCell ref="E14:F14"/>
    <mergeCell ref="G14:H14"/>
    <mergeCell ref="E5:H5"/>
    <mergeCell ref="E6:H6"/>
    <mergeCell ref="G11:H11"/>
    <mergeCell ref="A5:A6"/>
    <mergeCell ref="J13:J14"/>
    <mergeCell ref="I13:I14"/>
    <mergeCell ref="A13:A14"/>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39370078740157483"/>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5"/>
  <sheetViews>
    <sheetView topLeftCell="A4" workbookViewId="0">
      <selection activeCell="I9" sqref="I9"/>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112</v>
      </c>
      <c r="B3" s="275" t="s">
        <v>3</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43"/>
      <c r="B7" s="39"/>
      <c r="C7" s="125"/>
      <c r="D7" s="45"/>
      <c r="E7" s="39"/>
      <c r="F7" s="125"/>
      <c r="G7" s="125"/>
      <c r="H7" s="126"/>
      <c r="I7" s="67"/>
      <c r="J7" s="39"/>
      <c r="K7" s="44"/>
    </row>
    <row r="8" spans="1:11" x14ac:dyDescent="0.25">
      <c r="A8" s="43">
        <v>43104</v>
      </c>
      <c r="B8" s="39" t="s">
        <v>172</v>
      </c>
      <c r="C8" s="125"/>
      <c r="D8" s="45">
        <v>114</v>
      </c>
      <c r="E8" s="39" t="s">
        <v>176</v>
      </c>
      <c r="F8" s="125"/>
      <c r="G8" s="125"/>
      <c r="H8" s="126"/>
      <c r="I8" s="67">
        <f>212195000-14597810-2332700-12622990-16062930-14999860-15829280-15420500-12054930-2787400-15486790-15549840-10639950-2886480-17449280</f>
        <v>43474260</v>
      </c>
      <c r="J8" s="39" t="s">
        <v>178</v>
      </c>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4" t="s">
        <v>131</v>
      </c>
      <c r="H10" s="345"/>
      <c r="I10" s="69">
        <f>SUM(I7:I9)</f>
        <v>43474260</v>
      </c>
      <c r="J10" s="52"/>
      <c r="K10" s="53"/>
    </row>
    <row r="11" spans="1:11" ht="12.75" customHeight="1" x14ac:dyDescent="0.25">
      <c r="A11" s="3"/>
      <c r="B11" s="3"/>
      <c r="C11" s="3"/>
      <c r="D11" s="3"/>
      <c r="E11" s="3"/>
      <c r="F11" s="3"/>
      <c r="G11" s="3"/>
      <c r="H11" s="3"/>
      <c r="I11" s="3"/>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2.75" customHeight="1" x14ac:dyDescent="0.25">
      <c r="A14" s="43"/>
      <c r="B14" s="241"/>
      <c r="C14" s="117"/>
      <c r="D14" s="117"/>
      <c r="E14" s="39"/>
      <c r="F14" s="44"/>
      <c r="G14"/>
      <c r="H14" s="44"/>
      <c r="I14" s="67"/>
      <c r="J14" s="67"/>
      <c r="K14" s="70">
        <f t="shared" ref="K14:K28" si="0">+I14-J14</f>
        <v>0</v>
      </c>
    </row>
    <row r="15" spans="1:11" x14ac:dyDescent="0.25">
      <c r="A15" s="43">
        <v>43119</v>
      </c>
      <c r="B15" s="242" t="s">
        <v>194</v>
      </c>
      <c r="C15" s="117">
        <v>114</v>
      </c>
      <c r="D15" s="117">
        <v>320</v>
      </c>
      <c r="E15" s="60" t="s">
        <v>225</v>
      </c>
      <c r="F15" s="61"/>
      <c r="G15" s="60" t="s">
        <v>226</v>
      </c>
      <c r="H15" s="61"/>
      <c r="I15" s="67">
        <v>14597810</v>
      </c>
      <c r="J15" s="67">
        <v>14597810</v>
      </c>
      <c r="K15" s="70">
        <f t="shared" si="0"/>
        <v>0</v>
      </c>
    </row>
    <row r="16" spans="1:11" x14ac:dyDescent="0.25">
      <c r="A16" s="43">
        <v>43151</v>
      </c>
      <c r="B16" s="242" t="s">
        <v>308</v>
      </c>
      <c r="C16" s="59">
        <v>114</v>
      </c>
      <c r="D16" s="74">
        <v>726</v>
      </c>
      <c r="E16" s="60" t="s">
        <v>309</v>
      </c>
      <c r="F16" s="61"/>
      <c r="G16" s="60" t="s">
        <v>226</v>
      </c>
      <c r="H16" s="61"/>
      <c r="I16" s="70">
        <v>2332700</v>
      </c>
      <c r="J16" s="70">
        <v>2332700</v>
      </c>
      <c r="K16" s="70">
        <f t="shared" si="0"/>
        <v>0</v>
      </c>
    </row>
    <row r="17" spans="1:11" x14ac:dyDescent="0.25">
      <c r="A17" s="43">
        <v>43161</v>
      </c>
      <c r="B17" s="242" t="s">
        <v>333</v>
      </c>
      <c r="C17" s="59">
        <v>114</v>
      </c>
      <c r="D17" s="74">
        <v>740</v>
      </c>
      <c r="E17" s="60" t="s">
        <v>334</v>
      </c>
      <c r="F17" s="61"/>
      <c r="G17" s="60" t="s">
        <v>226</v>
      </c>
      <c r="H17" s="61"/>
      <c r="I17" s="70">
        <v>12622990</v>
      </c>
      <c r="J17" s="70">
        <v>12622990</v>
      </c>
      <c r="K17" s="70">
        <f t="shared" si="0"/>
        <v>0</v>
      </c>
    </row>
    <row r="18" spans="1:11" x14ac:dyDescent="0.25">
      <c r="A18" s="43">
        <v>43182</v>
      </c>
      <c r="B18" s="242" t="s">
        <v>370</v>
      </c>
      <c r="C18" s="59">
        <v>114</v>
      </c>
      <c r="D18" s="74">
        <v>769</v>
      </c>
      <c r="E18" s="60" t="s">
        <v>371</v>
      </c>
      <c r="F18" s="61"/>
      <c r="G18" s="60" t="s">
        <v>226</v>
      </c>
      <c r="H18" s="61"/>
      <c r="I18" s="70">
        <v>16062930</v>
      </c>
      <c r="J18" s="70">
        <v>16062930</v>
      </c>
      <c r="K18" s="70">
        <f t="shared" si="0"/>
        <v>0</v>
      </c>
    </row>
    <row r="19" spans="1:11" x14ac:dyDescent="0.25">
      <c r="A19" s="43">
        <v>43209</v>
      </c>
      <c r="B19" s="242" t="s">
        <v>417</v>
      </c>
      <c r="C19" s="59">
        <v>114</v>
      </c>
      <c r="D19" s="74">
        <v>801</v>
      </c>
      <c r="E19" s="60" t="s">
        <v>418</v>
      </c>
      <c r="F19" s="61"/>
      <c r="G19" s="60" t="s">
        <v>226</v>
      </c>
      <c r="H19" s="61"/>
      <c r="I19" s="70">
        <v>14999860</v>
      </c>
      <c r="J19" s="70">
        <v>14999860</v>
      </c>
      <c r="K19" s="70">
        <f t="shared" si="0"/>
        <v>0</v>
      </c>
    </row>
    <row r="20" spans="1:11" x14ac:dyDescent="0.25">
      <c r="A20" s="43">
        <v>43244</v>
      </c>
      <c r="B20" s="242" t="s">
        <v>469</v>
      </c>
      <c r="C20" s="59">
        <v>114</v>
      </c>
      <c r="D20" s="74">
        <v>839</v>
      </c>
      <c r="E20" s="60" t="s">
        <v>470</v>
      </c>
      <c r="F20" s="61"/>
      <c r="G20" s="60" t="s">
        <v>226</v>
      </c>
      <c r="H20" s="61"/>
      <c r="I20" s="70">
        <v>15829280</v>
      </c>
      <c r="J20" s="70">
        <v>15829280</v>
      </c>
      <c r="K20" s="70">
        <f t="shared" si="0"/>
        <v>0</v>
      </c>
    </row>
    <row r="21" spans="1:11" x14ac:dyDescent="0.25">
      <c r="A21" s="43">
        <v>43272</v>
      </c>
      <c r="B21" s="242" t="s">
        <v>518</v>
      </c>
      <c r="C21" s="59">
        <v>114</v>
      </c>
      <c r="D21" s="74">
        <v>885</v>
      </c>
      <c r="E21" s="60" t="s">
        <v>519</v>
      </c>
      <c r="F21" s="61"/>
      <c r="G21" s="60" t="s">
        <v>226</v>
      </c>
      <c r="H21" s="61"/>
      <c r="I21" s="70">
        <v>15420500</v>
      </c>
      <c r="J21" s="70">
        <v>15420500</v>
      </c>
      <c r="K21" s="70">
        <f t="shared" si="0"/>
        <v>0</v>
      </c>
    </row>
    <row r="22" spans="1:11" x14ac:dyDescent="0.25">
      <c r="A22" s="43">
        <v>43304</v>
      </c>
      <c r="B22" s="242" t="s">
        <v>563</v>
      </c>
      <c r="C22" s="59">
        <v>114</v>
      </c>
      <c r="D22" s="74">
        <v>934</v>
      </c>
      <c r="E22" s="60" t="s">
        <v>565</v>
      </c>
      <c r="F22" s="61"/>
      <c r="G22" s="60" t="s">
        <v>226</v>
      </c>
      <c r="H22" s="61"/>
      <c r="I22" s="70">
        <v>12054930</v>
      </c>
      <c r="J22" s="70">
        <v>12054930</v>
      </c>
      <c r="K22" s="70">
        <f t="shared" si="0"/>
        <v>0</v>
      </c>
    </row>
    <row r="23" spans="1:11" x14ac:dyDescent="0.25">
      <c r="A23" s="43">
        <v>43307</v>
      </c>
      <c r="B23" s="242" t="s">
        <v>564</v>
      </c>
      <c r="C23" s="59">
        <v>114</v>
      </c>
      <c r="D23" s="74">
        <v>940</v>
      </c>
      <c r="E23" s="60" t="s">
        <v>566</v>
      </c>
      <c r="F23" s="61"/>
      <c r="G23" s="60" t="s">
        <v>226</v>
      </c>
      <c r="H23" s="61"/>
      <c r="I23" s="70">
        <v>2787400</v>
      </c>
      <c r="J23" s="70">
        <v>2787400</v>
      </c>
      <c r="K23" s="70">
        <f t="shared" si="0"/>
        <v>0</v>
      </c>
    </row>
    <row r="24" spans="1:11" x14ac:dyDescent="0.25">
      <c r="A24" s="43">
        <v>43334</v>
      </c>
      <c r="B24" s="242" t="s">
        <v>665</v>
      </c>
      <c r="C24" s="59">
        <v>114</v>
      </c>
      <c r="D24" s="74">
        <v>1019</v>
      </c>
      <c r="E24" s="60" t="s">
        <v>666</v>
      </c>
      <c r="F24" s="61"/>
      <c r="G24" s="60" t="s">
        <v>226</v>
      </c>
      <c r="H24" s="61"/>
      <c r="I24" s="70">
        <v>15486790</v>
      </c>
      <c r="J24" s="70">
        <v>15486790</v>
      </c>
      <c r="K24" s="70">
        <f t="shared" si="0"/>
        <v>0</v>
      </c>
    </row>
    <row r="25" spans="1:11" x14ac:dyDescent="0.25">
      <c r="A25" s="43">
        <v>43367</v>
      </c>
      <c r="B25" s="242" t="s">
        <v>739</v>
      </c>
      <c r="C25" s="59">
        <v>114</v>
      </c>
      <c r="D25" s="74">
        <v>1479</v>
      </c>
      <c r="E25" s="240" t="s">
        <v>740</v>
      </c>
      <c r="F25" s="61"/>
      <c r="G25" s="240" t="s">
        <v>226</v>
      </c>
      <c r="H25" s="61"/>
      <c r="I25" s="70">
        <v>15549840</v>
      </c>
      <c r="J25" s="70">
        <v>15549840</v>
      </c>
      <c r="K25" s="70">
        <f t="shared" si="0"/>
        <v>0</v>
      </c>
    </row>
    <row r="26" spans="1:11" x14ac:dyDescent="0.25">
      <c r="A26" s="43">
        <v>43392</v>
      </c>
      <c r="B26" s="242" t="s">
        <v>665</v>
      </c>
      <c r="C26" s="59">
        <v>114</v>
      </c>
      <c r="D26" s="74">
        <v>1617</v>
      </c>
      <c r="E26" s="60" t="s">
        <v>800</v>
      </c>
      <c r="F26" s="61"/>
      <c r="G26" s="240" t="s">
        <v>226</v>
      </c>
      <c r="H26" s="61"/>
      <c r="I26" s="70">
        <v>10639950</v>
      </c>
      <c r="J26" s="70">
        <v>10639950</v>
      </c>
      <c r="K26" s="70">
        <f t="shared" si="0"/>
        <v>0</v>
      </c>
    </row>
    <row r="27" spans="1:11" x14ac:dyDescent="0.25">
      <c r="A27" s="43">
        <v>43423</v>
      </c>
      <c r="B27" s="242" t="s">
        <v>843</v>
      </c>
      <c r="C27" s="59">
        <v>114</v>
      </c>
      <c r="D27" s="74">
        <v>1675</v>
      </c>
      <c r="E27" s="60" t="s">
        <v>844</v>
      </c>
      <c r="F27" s="61"/>
      <c r="G27" s="240" t="s">
        <v>226</v>
      </c>
      <c r="H27" s="61"/>
      <c r="I27" s="70">
        <v>2886480</v>
      </c>
      <c r="J27" s="70">
        <v>2886480</v>
      </c>
      <c r="K27" s="70"/>
    </row>
    <row r="28" spans="1:11" x14ac:dyDescent="0.25">
      <c r="A28" s="43">
        <v>43425</v>
      </c>
      <c r="B28" s="242" t="s">
        <v>841</v>
      </c>
      <c r="C28" s="59">
        <v>114</v>
      </c>
      <c r="D28" s="74">
        <v>1688</v>
      </c>
      <c r="E28" s="242" t="s">
        <v>842</v>
      </c>
      <c r="F28" s="61"/>
      <c r="G28" s="240" t="s">
        <v>226</v>
      </c>
      <c r="H28" s="61"/>
      <c r="I28" s="70">
        <v>17449280</v>
      </c>
      <c r="J28" s="70">
        <v>17449280</v>
      </c>
      <c r="K28" s="70">
        <f t="shared" si="0"/>
        <v>0</v>
      </c>
    </row>
    <row r="29" spans="1:11" x14ac:dyDescent="0.25">
      <c r="A29" s="43"/>
      <c r="B29" s="242"/>
      <c r="C29" s="59"/>
      <c r="D29" s="74"/>
      <c r="E29" s="242"/>
      <c r="F29" s="61"/>
      <c r="G29" s="240"/>
      <c r="H29" s="61"/>
      <c r="I29" s="70"/>
      <c r="J29" s="70"/>
      <c r="K29" s="70"/>
    </row>
    <row r="30" spans="1:11" ht="12.75" customHeight="1" x14ac:dyDescent="0.25">
      <c r="A30" s="43"/>
      <c r="B30" s="58"/>
      <c r="C30" s="59"/>
      <c r="E30" s="242"/>
      <c r="F30" s="61"/>
      <c r="G30" s="60"/>
      <c r="H30" s="61"/>
      <c r="I30" s="70"/>
      <c r="J30" s="70"/>
      <c r="K30" s="70"/>
    </row>
    <row r="31" spans="1:11" x14ac:dyDescent="0.25">
      <c r="A31" s="50"/>
      <c r="B31" s="51"/>
      <c r="C31" s="51"/>
      <c r="D31" s="51"/>
      <c r="E31" s="51"/>
      <c r="F31" s="51"/>
      <c r="G31" s="344" t="s">
        <v>131</v>
      </c>
      <c r="H31" s="345"/>
      <c r="I31" s="73">
        <f>SUM(I14:I30)</f>
        <v>168720740</v>
      </c>
      <c r="J31" s="73">
        <f>SUM(J14:J30)</f>
        <v>168720740</v>
      </c>
      <c r="K31" s="73">
        <f>SUM(K14:K30)</f>
        <v>0</v>
      </c>
    </row>
    <row r="32" spans="1:11" ht="12.75" customHeight="1" x14ac:dyDescent="0.25">
      <c r="A32" s="51"/>
      <c r="B32" s="51"/>
      <c r="C32" s="51"/>
      <c r="D32" s="51"/>
      <c r="E32" s="51"/>
      <c r="F32" s="51"/>
      <c r="G32" s="51"/>
      <c r="H32" s="51"/>
      <c r="I32" s="86"/>
      <c r="J32" s="86"/>
      <c r="K32" s="51"/>
    </row>
    <row r="33" spans="1:11" ht="24.95" customHeight="1" x14ac:dyDescent="0.25">
      <c r="A33" s="284" t="s">
        <v>58</v>
      </c>
      <c r="B33" s="284" t="s">
        <v>132</v>
      </c>
      <c r="C33" s="284" t="s">
        <v>30</v>
      </c>
      <c r="D33" s="285" t="s">
        <v>59</v>
      </c>
      <c r="E33" s="284" t="s">
        <v>40</v>
      </c>
      <c r="F33" s="284" t="s">
        <v>62</v>
      </c>
      <c r="G33" s="284" t="s">
        <v>37</v>
      </c>
      <c r="H33" s="284" t="s">
        <v>60</v>
      </c>
      <c r="I33" s="284" t="s">
        <v>61</v>
      </c>
      <c r="J33" s="284" t="s">
        <v>98</v>
      </c>
      <c r="K33" s="284" t="s">
        <v>68</v>
      </c>
    </row>
    <row r="34" spans="1:11" ht="24.95" customHeight="1" x14ac:dyDescent="0.25">
      <c r="A34" s="291">
        <v>212195000</v>
      </c>
      <c r="B34" s="291"/>
      <c r="C34" s="291">
        <v>0</v>
      </c>
      <c r="D34" s="287">
        <f>+A34+B34-C34</f>
        <v>212195000</v>
      </c>
      <c r="E34" s="287">
        <f>+I31</f>
        <v>168720740</v>
      </c>
      <c r="F34" s="288">
        <f>+E34/D34</f>
        <v>0.79512118570183088</v>
      </c>
      <c r="G34" s="287">
        <f>+I10</f>
        <v>43474260</v>
      </c>
      <c r="H34" s="287">
        <f>+D34-E34-G34</f>
        <v>0</v>
      </c>
      <c r="I34" s="287">
        <f>+J31</f>
        <v>168720740</v>
      </c>
      <c r="J34" s="293">
        <f>+I34/D34</f>
        <v>0.79512118570183088</v>
      </c>
      <c r="K34" s="287">
        <f>+K31</f>
        <v>0</v>
      </c>
    </row>
    <row r="35" spans="1:11" x14ac:dyDescent="0.25">
      <c r="A35" s="290">
        <v>1</v>
      </c>
      <c r="B35" s="290">
        <v>2</v>
      </c>
      <c r="C35" s="290">
        <v>3</v>
      </c>
      <c r="D35" s="290" t="s">
        <v>42</v>
      </c>
      <c r="E35" s="290">
        <v>5</v>
      </c>
      <c r="F35" s="290" t="s">
        <v>69</v>
      </c>
      <c r="G35" s="290">
        <v>7</v>
      </c>
      <c r="H35" s="290" t="s">
        <v>70</v>
      </c>
      <c r="I35" s="290">
        <v>9</v>
      </c>
      <c r="J35" s="290" t="s">
        <v>99</v>
      </c>
      <c r="K35" s="290" t="s">
        <v>100</v>
      </c>
    </row>
  </sheetData>
  <mergeCells count="15">
    <mergeCell ref="J5:K6"/>
    <mergeCell ref="J12:J13"/>
    <mergeCell ref="I12:I13"/>
    <mergeCell ref="I5:I6"/>
    <mergeCell ref="G31:H31"/>
    <mergeCell ref="A5:A6"/>
    <mergeCell ref="B5:B6"/>
    <mergeCell ref="D5:D6"/>
    <mergeCell ref="A12:A13"/>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3"/>
  <sheetViews>
    <sheetView workbookViewId="0">
      <selection activeCell="J16" sqref="J16:J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126</v>
      </c>
      <c r="B3" s="278" t="s">
        <v>127</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00"/>
      <c r="B7" s="109"/>
      <c r="C7" s="34"/>
      <c r="D7" s="124"/>
      <c r="E7" s="134"/>
      <c r="F7" s="135"/>
      <c r="G7" s="135"/>
      <c r="H7" s="136"/>
      <c r="I7" s="103"/>
      <c r="J7" s="109"/>
      <c r="K7" s="34"/>
    </row>
    <row r="8" spans="1:11" ht="12.75" customHeight="1" x14ac:dyDescent="0.25">
      <c r="A8" s="78">
        <v>43271</v>
      </c>
      <c r="B8" s="132" t="s">
        <v>520</v>
      </c>
      <c r="C8" s="322"/>
      <c r="D8" s="114">
        <v>819</v>
      </c>
      <c r="E8" s="60" t="s">
        <v>521</v>
      </c>
      <c r="F8" s="101"/>
      <c r="G8" s="101"/>
      <c r="H8" s="102"/>
      <c r="I8" s="333">
        <f>300000000-291788000</f>
        <v>8212000</v>
      </c>
      <c r="J8" s="132" t="s">
        <v>178</v>
      </c>
      <c r="K8" s="103"/>
    </row>
    <row r="9" spans="1:11" ht="12.75" customHeight="1" x14ac:dyDescent="0.25">
      <c r="A9" s="78">
        <v>43342</v>
      </c>
      <c r="B9" s="132" t="s">
        <v>520</v>
      </c>
      <c r="C9" s="322"/>
      <c r="D9" s="114">
        <v>908</v>
      </c>
      <c r="E9" s="60" t="s">
        <v>693</v>
      </c>
      <c r="F9" s="101"/>
      <c r="G9" s="101"/>
      <c r="H9" s="102"/>
      <c r="I9" s="333">
        <f>54000000-41650000</f>
        <v>12350000</v>
      </c>
      <c r="J9" s="132" t="s">
        <v>178</v>
      </c>
      <c r="K9" s="103"/>
    </row>
    <row r="10" spans="1:11" ht="12.75" customHeight="1" x14ac:dyDescent="0.25">
      <c r="A10" s="43"/>
      <c r="B10" s="48"/>
      <c r="C10" s="49"/>
      <c r="D10" s="39"/>
      <c r="E10" s="48"/>
      <c r="F10" s="33"/>
      <c r="G10" s="137"/>
      <c r="H10" s="53"/>
      <c r="I10" s="68"/>
      <c r="J10" s="39"/>
      <c r="K10" s="44"/>
    </row>
    <row r="11" spans="1:11" x14ac:dyDescent="0.25">
      <c r="A11" s="50"/>
      <c r="B11" s="51"/>
      <c r="C11" s="51"/>
      <c r="D11" s="51"/>
      <c r="E11" s="51"/>
      <c r="F11" s="51"/>
      <c r="G11" s="344" t="s">
        <v>131</v>
      </c>
      <c r="H11" s="345"/>
      <c r="I11" s="69">
        <f>SUM(I8:I10)</f>
        <v>20562000</v>
      </c>
      <c r="J11" s="52"/>
      <c r="K11" s="53"/>
    </row>
    <row r="12" spans="1:11" ht="12.75" customHeight="1" x14ac:dyDescent="0.25">
      <c r="A12" s="3"/>
      <c r="B12" s="3"/>
      <c r="C12" s="3"/>
      <c r="D12" s="3"/>
      <c r="E12" s="3"/>
      <c r="F12" s="3"/>
      <c r="G12" s="3"/>
      <c r="H12" s="3"/>
      <c r="I12" s="3"/>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x14ac:dyDescent="0.25">
      <c r="A15" s="100"/>
      <c r="B15" s="100"/>
      <c r="C15" s="100"/>
      <c r="D15" s="100"/>
      <c r="E15" s="230"/>
      <c r="F15" s="102"/>
      <c r="G15" s="134"/>
      <c r="H15" s="102"/>
      <c r="I15" s="103"/>
      <c r="J15" s="230"/>
      <c r="K15" s="252"/>
    </row>
    <row r="16" spans="1:11" x14ac:dyDescent="0.25">
      <c r="A16" s="43">
        <v>43329</v>
      </c>
      <c r="B16" s="117" t="s">
        <v>667</v>
      </c>
      <c r="C16" s="117">
        <v>819</v>
      </c>
      <c r="D16" s="117">
        <v>1005</v>
      </c>
      <c r="E16" s="60" t="s">
        <v>521</v>
      </c>
      <c r="F16" s="102"/>
      <c r="G16" s="39" t="s">
        <v>668</v>
      </c>
      <c r="H16" s="102"/>
      <c r="I16" s="138">
        <v>291788000</v>
      </c>
      <c r="J16" s="138">
        <v>81872000</v>
      </c>
      <c r="K16" s="149">
        <f>+I16-J16</f>
        <v>209916000</v>
      </c>
    </row>
    <row r="17" spans="1:11" x14ac:dyDescent="0.25">
      <c r="A17" s="43">
        <v>43405</v>
      </c>
      <c r="B17" s="117" t="s">
        <v>818</v>
      </c>
      <c r="C17" s="117">
        <v>908</v>
      </c>
      <c r="D17" s="117">
        <v>1636</v>
      </c>
      <c r="E17" s="60" t="s">
        <v>693</v>
      </c>
      <c r="F17" s="102"/>
      <c r="G17" s="39"/>
      <c r="H17" s="102"/>
      <c r="I17" s="138">
        <v>41650000</v>
      </c>
      <c r="J17" s="138">
        <v>0</v>
      </c>
      <c r="K17" s="149">
        <f>+I17-J17</f>
        <v>41650000</v>
      </c>
    </row>
    <row r="18" spans="1:11" ht="12.75" customHeight="1" x14ac:dyDescent="0.25">
      <c r="A18" s="43"/>
      <c r="B18" s="58"/>
      <c r="C18" s="36"/>
      <c r="D18" s="36"/>
      <c r="E18" s="39"/>
      <c r="F18" s="44"/>
      <c r="G18" s="39"/>
      <c r="H18" s="44"/>
      <c r="I18" s="83"/>
      <c r="J18" s="83"/>
      <c r="K18" s="83"/>
    </row>
    <row r="19" spans="1:11" x14ac:dyDescent="0.25">
      <c r="A19" s="50"/>
      <c r="B19" s="51"/>
      <c r="C19" s="51"/>
      <c r="D19" s="51"/>
      <c r="E19" s="51"/>
      <c r="F19" s="51"/>
      <c r="G19" s="344" t="s">
        <v>131</v>
      </c>
      <c r="H19" s="345"/>
      <c r="I19" s="73">
        <f>SUM(I15:I18)</f>
        <v>333438000</v>
      </c>
      <c r="J19" s="73">
        <f>SUM(J15:J18)</f>
        <v>81872000</v>
      </c>
      <c r="K19" s="73">
        <f>SUM(K15:K18)</f>
        <v>251566000</v>
      </c>
    </row>
    <row r="20" spans="1:11" ht="12.75" customHeight="1" x14ac:dyDescent="0.25">
      <c r="A20" s="3"/>
      <c r="B20" s="3"/>
      <c r="C20" s="3"/>
      <c r="D20" s="3"/>
      <c r="E20" s="3"/>
      <c r="F20" s="3"/>
      <c r="G20" s="3"/>
      <c r="H20" s="3"/>
      <c r="I20" s="22"/>
      <c r="J20" s="32"/>
      <c r="K20" s="51"/>
    </row>
    <row r="21" spans="1:11" ht="24.95" customHeight="1" x14ac:dyDescent="0.25">
      <c r="A21" s="284" t="s">
        <v>58</v>
      </c>
      <c r="B21" s="284" t="s">
        <v>132</v>
      </c>
      <c r="C21" s="284" t="s">
        <v>30</v>
      </c>
      <c r="D21" s="285" t="s">
        <v>59</v>
      </c>
      <c r="E21" s="284" t="s">
        <v>40</v>
      </c>
      <c r="F21" s="284" t="s">
        <v>62</v>
      </c>
      <c r="G21" s="284" t="s">
        <v>37</v>
      </c>
      <c r="H21" s="284" t="s">
        <v>60</v>
      </c>
      <c r="I21" s="284" t="s">
        <v>61</v>
      </c>
      <c r="J21" s="284" t="s">
        <v>98</v>
      </c>
      <c r="K21" s="284" t="s">
        <v>68</v>
      </c>
    </row>
    <row r="22" spans="1:11" ht="24.95" customHeight="1" x14ac:dyDescent="0.25">
      <c r="A22" s="291">
        <v>354083000</v>
      </c>
      <c r="B22" s="291"/>
      <c r="C22" s="291">
        <v>0</v>
      </c>
      <c r="D22" s="287">
        <f>+A22+B22-C22</f>
        <v>354083000</v>
      </c>
      <c r="E22" s="287">
        <f>+I19</f>
        <v>333438000</v>
      </c>
      <c r="F22" s="288">
        <f>+E22/D22</f>
        <v>0.9416944614680739</v>
      </c>
      <c r="G22" s="287">
        <f>+I11</f>
        <v>20562000</v>
      </c>
      <c r="H22" s="287">
        <f>+D22-E22-G22</f>
        <v>83000</v>
      </c>
      <c r="I22" s="287">
        <f>+J19</f>
        <v>81872000</v>
      </c>
      <c r="J22" s="293">
        <f>+I22/D22</f>
        <v>0.2312226229443379</v>
      </c>
      <c r="K22" s="287">
        <f>+K19</f>
        <v>251566000</v>
      </c>
    </row>
    <row r="23" spans="1:11" x14ac:dyDescent="0.25">
      <c r="A23" s="290">
        <v>1</v>
      </c>
      <c r="B23" s="290">
        <v>2</v>
      </c>
      <c r="C23" s="290">
        <v>3</v>
      </c>
      <c r="D23" s="290" t="s">
        <v>42</v>
      </c>
      <c r="E23" s="290">
        <v>5</v>
      </c>
      <c r="F23" s="290" t="s">
        <v>69</v>
      </c>
      <c r="G23" s="290">
        <v>7</v>
      </c>
      <c r="H23" s="290" t="s">
        <v>70</v>
      </c>
      <c r="I23" s="290">
        <v>9</v>
      </c>
      <c r="J23" s="290" t="s">
        <v>99</v>
      </c>
      <c r="K23" s="290" t="s">
        <v>100</v>
      </c>
    </row>
  </sheetData>
  <mergeCells count="15">
    <mergeCell ref="J5:K6"/>
    <mergeCell ref="E6:H6"/>
    <mergeCell ref="G19:H19"/>
    <mergeCell ref="G11:H11"/>
    <mergeCell ref="A13:A14"/>
    <mergeCell ref="E13:H13"/>
    <mergeCell ref="I13:I14"/>
    <mergeCell ref="J13:J14"/>
    <mergeCell ref="E14:F14"/>
    <mergeCell ref="G14:H14"/>
    <mergeCell ref="A5:A6"/>
    <mergeCell ref="B5:B6"/>
    <mergeCell ref="D5:D6"/>
    <mergeCell ref="E5:H5"/>
    <mergeCell ref="I5:I6"/>
  </mergeCells>
  <pageMargins left="0.19685039370078741" right="0.19685039370078741" top="0.39370078740157483" bottom="0.39370078740157483" header="0" footer="0"/>
  <pageSetup scale="80" orientation="landscape" r:id="rId1"/>
  <headerFooter>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81"/>
  <sheetViews>
    <sheetView workbookViewId="0">
      <selection activeCell="A34" sqref="A34:XFD7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113</v>
      </c>
      <c r="B3" s="278" t="s">
        <v>52</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43"/>
      <c r="B7" s="87"/>
      <c r="C7" s="38"/>
      <c r="D7" s="45"/>
      <c r="E7" s="37"/>
      <c r="F7" s="40"/>
      <c r="G7" s="41"/>
      <c r="H7" s="42"/>
      <c r="I7" s="71"/>
      <c r="J7" s="37"/>
      <c r="K7" s="38"/>
    </row>
    <row r="8" spans="1:11" ht="12.75" customHeight="1" x14ac:dyDescent="0.25">
      <c r="A8" s="43">
        <v>43256</v>
      </c>
      <c r="B8" s="87" t="s">
        <v>235</v>
      </c>
      <c r="C8" s="44"/>
      <c r="D8" s="45">
        <v>800</v>
      </c>
      <c r="E8" s="39" t="s">
        <v>479</v>
      </c>
      <c r="F8" s="32"/>
      <c r="G8" s="46"/>
      <c r="H8" s="47"/>
      <c r="I8" s="71">
        <f>25000000-1800000</f>
        <v>23200000</v>
      </c>
      <c r="J8" s="39" t="s">
        <v>178</v>
      </c>
      <c r="K8" s="44"/>
    </row>
    <row r="9" spans="1:11" ht="12.75" customHeight="1" x14ac:dyDescent="0.25">
      <c r="A9" s="43">
        <v>43256</v>
      </c>
      <c r="B9" s="87" t="s">
        <v>235</v>
      </c>
      <c r="C9" s="44"/>
      <c r="D9" s="45">
        <v>801</v>
      </c>
      <c r="E9" s="39" t="s">
        <v>480</v>
      </c>
      <c r="F9" s="32"/>
      <c r="G9" s="46"/>
      <c r="H9" s="47"/>
      <c r="I9" s="71">
        <v>21257595</v>
      </c>
      <c r="J9" s="39"/>
      <c r="K9" s="44"/>
    </row>
    <row r="10" spans="1:11" ht="12.75" customHeight="1" x14ac:dyDescent="0.25">
      <c r="A10" s="43">
        <v>43256</v>
      </c>
      <c r="B10" s="87" t="s">
        <v>235</v>
      </c>
      <c r="C10" s="44"/>
      <c r="D10" s="45">
        <v>802</v>
      </c>
      <c r="E10" s="39" t="s">
        <v>481</v>
      </c>
      <c r="F10" s="32"/>
      <c r="G10" s="46"/>
      <c r="H10" s="47"/>
      <c r="I10" s="71">
        <f>7901206-1562484-1562484-1562484-1562484</f>
        <v>1651270</v>
      </c>
      <c r="J10" s="39" t="s">
        <v>178</v>
      </c>
      <c r="K10" s="44"/>
    </row>
    <row r="11" spans="1:11" ht="12.75" customHeight="1" x14ac:dyDescent="0.25">
      <c r="A11" s="43"/>
      <c r="B11" s="48"/>
      <c r="C11" s="49"/>
      <c r="D11" s="39"/>
      <c r="E11" s="39"/>
      <c r="F11" s="32"/>
      <c r="G11" s="46"/>
      <c r="H11" s="47"/>
      <c r="I11" s="68"/>
      <c r="J11" s="39"/>
      <c r="K11" s="44"/>
    </row>
    <row r="12" spans="1:11" x14ac:dyDescent="0.25">
      <c r="A12" s="50"/>
      <c r="B12" s="51"/>
      <c r="C12" s="51"/>
      <c r="D12" s="51"/>
      <c r="E12" s="51"/>
      <c r="F12" s="51"/>
      <c r="G12" s="344" t="s">
        <v>131</v>
      </c>
      <c r="H12" s="345"/>
      <c r="I12" s="69">
        <f>SUM(I7:I11)</f>
        <v>46108865</v>
      </c>
      <c r="J12" s="52"/>
      <c r="K12" s="53"/>
    </row>
    <row r="13" spans="1:11" ht="12.75" customHeight="1" x14ac:dyDescent="0.25">
      <c r="A13" s="3"/>
      <c r="B13" s="3"/>
      <c r="C13" s="3"/>
      <c r="D13" s="3"/>
      <c r="E13" s="3"/>
      <c r="F13" s="3"/>
      <c r="G13" s="3"/>
      <c r="H13" s="3"/>
      <c r="I13" s="3"/>
      <c r="J13" s="154"/>
      <c r="K13" s="44"/>
    </row>
    <row r="14" spans="1:11" x14ac:dyDescent="0.25">
      <c r="A14" s="346" t="s">
        <v>28</v>
      </c>
      <c r="B14" s="30" t="s">
        <v>38</v>
      </c>
      <c r="C14" s="55" t="s">
        <v>34</v>
      </c>
      <c r="D14" s="54" t="s">
        <v>34</v>
      </c>
      <c r="E14" s="350" t="s">
        <v>40</v>
      </c>
      <c r="F14" s="351"/>
      <c r="G14" s="351"/>
      <c r="H14" s="352"/>
      <c r="I14" s="346" t="s">
        <v>31</v>
      </c>
      <c r="J14" s="346" t="s">
        <v>29</v>
      </c>
      <c r="K14" s="55" t="s">
        <v>56</v>
      </c>
    </row>
    <row r="15" spans="1:11" x14ac:dyDescent="0.25">
      <c r="A15" s="347"/>
      <c r="B15" s="56" t="s">
        <v>39</v>
      </c>
      <c r="C15" s="56" t="s">
        <v>36</v>
      </c>
      <c r="D15" s="56" t="s">
        <v>35</v>
      </c>
      <c r="E15" s="350" t="s">
        <v>33</v>
      </c>
      <c r="F15" s="352"/>
      <c r="G15" s="350" t="s">
        <v>32</v>
      </c>
      <c r="H15" s="352"/>
      <c r="I15" s="347"/>
      <c r="J15" s="347"/>
      <c r="K15" s="56" t="s">
        <v>57</v>
      </c>
    </row>
    <row r="16" spans="1:11" hidden="1" x14ac:dyDescent="0.25">
      <c r="A16" s="78"/>
      <c r="B16" s="117"/>
      <c r="C16" s="114"/>
      <c r="D16" s="117"/>
      <c r="E16" s="104"/>
      <c r="F16" s="102"/>
      <c r="G16" s="60"/>
      <c r="H16" s="102"/>
      <c r="I16" s="235"/>
      <c r="J16" s="235"/>
      <c r="K16" s="70">
        <f t="shared" ref="K16:K26" si="0">+I16-J16</f>
        <v>0</v>
      </c>
    </row>
    <row r="17" spans="1:12" hidden="1" x14ac:dyDescent="0.25">
      <c r="A17" s="78">
        <v>43147</v>
      </c>
      <c r="B17" s="117" t="s">
        <v>265</v>
      </c>
      <c r="C17" s="114">
        <v>704</v>
      </c>
      <c r="D17" s="117">
        <v>698</v>
      </c>
      <c r="E17" s="104" t="s">
        <v>276</v>
      </c>
      <c r="F17" s="102"/>
      <c r="G17" s="60" t="s">
        <v>266</v>
      </c>
      <c r="H17" s="102"/>
      <c r="I17" s="235">
        <v>2343726</v>
      </c>
      <c r="J17" s="235">
        <v>2343726</v>
      </c>
      <c r="K17" s="70">
        <f t="shared" si="0"/>
        <v>0</v>
      </c>
      <c r="L17"/>
    </row>
    <row r="18" spans="1:12" hidden="1" x14ac:dyDescent="0.25">
      <c r="A18" s="78">
        <v>43147</v>
      </c>
      <c r="B18" s="117" t="s">
        <v>265</v>
      </c>
      <c r="C18" s="114">
        <v>704</v>
      </c>
      <c r="D18" s="117">
        <v>699</v>
      </c>
      <c r="E18" s="104" t="s">
        <v>277</v>
      </c>
      <c r="F18" s="102"/>
      <c r="G18" s="60" t="s">
        <v>267</v>
      </c>
      <c r="H18" s="102"/>
      <c r="I18" s="235">
        <v>984410</v>
      </c>
      <c r="J18" s="235">
        <v>984410</v>
      </c>
      <c r="K18" s="70">
        <f t="shared" si="0"/>
        <v>0</v>
      </c>
      <c r="L18"/>
    </row>
    <row r="19" spans="1:12" hidden="1" x14ac:dyDescent="0.25">
      <c r="A19" s="78">
        <v>43147</v>
      </c>
      <c r="B19" s="117" t="s">
        <v>265</v>
      </c>
      <c r="C19" s="114">
        <v>704</v>
      </c>
      <c r="D19" s="117">
        <v>700</v>
      </c>
      <c r="E19" s="104" t="s">
        <v>278</v>
      </c>
      <c r="F19" s="102"/>
      <c r="G19" s="60" t="s">
        <v>268</v>
      </c>
      <c r="H19" s="102"/>
      <c r="I19" s="235">
        <v>2343726</v>
      </c>
      <c r="J19" s="235">
        <v>2343726</v>
      </c>
      <c r="K19" s="70">
        <f t="shared" si="0"/>
        <v>0</v>
      </c>
      <c r="L19"/>
    </row>
    <row r="20" spans="1:12" hidden="1" x14ac:dyDescent="0.25">
      <c r="A20" s="78">
        <v>43147</v>
      </c>
      <c r="B20" s="117" t="s">
        <v>265</v>
      </c>
      <c r="C20" s="114">
        <v>704</v>
      </c>
      <c r="D20" s="117">
        <v>701</v>
      </c>
      <c r="E20" s="104" t="s">
        <v>279</v>
      </c>
      <c r="F20" s="102"/>
      <c r="G20" s="60" t="s">
        <v>269</v>
      </c>
      <c r="H20" s="102"/>
      <c r="I20" s="235">
        <v>1274511</v>
      </c>
      <c r="J20" s="235">
        <v>1274511</v>
      </c>
      <c r="K20" s="70">
        <f t="shared" si="0"/>
        <v>0</v>
      </c>
      <c r="L20"/>
    </row>
    <row r="21" spans="1:12" hidden="1" x14ac:dyDescent="0.25">
      <c r="A21" s="78">
        <v>43147</v>
      </c>
      <c r="B21" s="117" t="s">
        <v>265</v>
      </c>
      <c r="C21" s="114">
        <v>704</v>
      </c>
      <c r="D21" s="117">
        <v>702</v>
      </c>
      <c r="E21" s="104" t="s">
        <v>280</v>
      </c>
      <c r="F21" s="102"/>
      <c r="G21" s="60" t="s">
        <v>270</v>
      </c>
      <c r="H21" s="102"/>
      <c r="I21" s="235">
        <v>1115100</v>
      </c>
      <c r="J21" s="235">
        <v>1115100</v>
      </c>
      <c r="K21" s="70">
        <f t="shared" si="0"/>
        <v>0</v>
      </c>
      <c r="L21"/>
    </row>
    <row r="22" spans="1:12" hidden="1" x14ac:dyDescent="0.25">
      <c r="A22" s="78">
        <v>43147</v>
      </c>
      <c r="B22" s="117" t="s">
        <v>265</v>
      </c>
      <c r="C22" s="114">
        <v>704</v>
      </c>
      <c r="D22" s="117">
        <v>703</v>
      </c>
      <c r="E22" s="104" t="s">
        <v>281</v>
      </c>
      <c r="F22" s="102"/>
      <c r="G22" s="60" t="s">
        <v>271</v>
      </c>
      <c r="H22" s="102"/>
      <c r="I22" s="235">
        <v>2343726</v>
      </c>
      <c r="J22" s="235">
        <v>2343726</v>
      </c>
      <c r="K22" s="70">
        <f t="shared" si="0"/>
        <v>0</v>
      </c>
      <c r="L22"/>
    </row>
    <row r="23" spans="1:12" hidden="1" x14ac:dyDescent="0.25">
      <c r="A23" s="78">
        <v>43147</v>
      </c>
      <c r="B23" s="117" t="s">
        <v>265</v>
      </c>
      <c r="C23" s="114">
        <v>704</v>
      </c>
      <c r="D23" s="117">
        <v>704</v>
      </c>
      <c r="E23" s="104" t="s">
        <v>282</v>
      </c>
      <c r="F23" s="102"/>
      <c r="G23" s="60" t="s">
        <v>269</v>
      </c>
      <c r="H23" s="102"/>
      <c r="I23" s="235">
        <v>811279</v>
      </c>
      <c r="J23" s="235">
        <v>811279</v>
      </c>
      <c r="K23" s="70">
        <f t="shared" si="0"/>
        <v>0</v>
      </c>
      <c r="L23"/>
    </row>
    <row r="24" spans="1:12" hidden="1" x14ac:dyDescent="0.25">
      <c r="A24" s="78">
        <v>43147</v>
      </c>
      <c r="B24" s="117" t="s">
        <v>265</v>
      </c>
      <c r="C24" s="114">
        <v>704</v>
      </c>
      <c r="D24" s="117">
        <v>705</v>
      </c>
      <c r="E24" s="104" t="s">
        <v>283</v>
      </c>
      <c r="F24" s="102"/>
      <c r="G24" s="60" t="s">
        <v>272</v>
      </c>
      <c r="H24" s="102"/>
      <c r="I24" s="235">
        <v>2343726</v>
      </c>
      <c r="J24" s="235">
        <v>2343726</v>
      </c>
      <c r="K24" s="70">
        <f t="shared" si="0"/>
        <v>0</v>
      </c>
      <c r="L24"/>
    </row>
    <row r="25" spans="1:12" hidden="1" x14ac:dyDescent="0.25">
      <c r="A25" s="78">
        <v>43147</v>
      </c>
      <c r="B25" s="117" t="s">
        <v>265</v>
      </c>
      <c r="C25" s="114">
        <v>704</v>
      </c>
      <c r="D25" s="117">
        <v>706</v>
      </c>
      <c r="E25" s="104" t="s">
        <v>284</v>
      </c>
      <c r="F25" s="102"/>
      <c r="G25" s="60" t="s">
        <v>273</v>
      </c>
      <c r="H25" s="102"/>
      <c r="I25" s="235">
        <v>1531132</v>
      </c>
      <c r="J25" s="235">
        <v>1531132</v>
      </c>
      <c r="K25" s="70">
        <f t="shared" si="0"/>
        <v>0</v>
      </c>
      <c r="L25"/>
    </row>
    <row r="26" spans="1:12" hidden="1" x14ac:dyDescent="0.25">
      <c r="A26" s="78">
        <v>43147</v>
      </c>
      <c r="B26" s="117" t="s">
        <v>265</v>
      </c>
      <c r="C26" s="114">
        <v>704</v>
      </c>
      <c r="D26" s="117">
        <v>707</v>
      </c>
      <c r="E26" s="104" t="s">
        <v>285</v>
      </c>
      <c r="F26" s="102"/>
      <c r="G26" s="60" t="s">
        <v>271</v>
      </c>
      <c r="H26" s="102"/>
      <c r="I26" s="235">
        <v>2343726</v>
      </c>
      <c r="J26" s="235">
        <v>2343726</v>
      </c>
      <c r="K26" s="70">
        <f t="shared" si="0"/>
        <v>0</v>
      </c>
      <c r="L26"/>
    </row>
    <row r="27" spans="1:12" hidden="1" x14ac:dyDescent="0.25">
      <c r="A27" s="43">
        <v>43147</v>
      </c>
      <c r="B27" s="117" t="s">
        <v>265</v>
      </c>
      <c r="C27" s="45">
        <v>704</v>
      </c>
      <c r="D27" s="59">
        <v>708</v>
      </c>
      <c r="E27" s="248" t="s">
        <v>286</v>
      </c>
      <c r="F27" s="61"/>
      <c r="G27" s="39" t="s">
        <v>274</v>
      </c>
      <c r="H27" s="61"/>
      <c r="I27" s="235">
        <v>2343726</v>
      </c>
      <c r="J27" s="258">
        <v>2343726</v>
      </c>
      <c r="K27" s="70">
        <f t="shared" ref="K27:K72" si="1">+I27-J27</f>
        <v>0</v>
      </c>
      <c r="L27"/>
    </row>
    <row r="28" spans="1:12" hidden="1" x14ac:dyDescent="0.25">
      <c r="A28" s="43">
        <v>43147</v>
      </c>
      <c r="B28" s="117" t="s">
        <v>265</v>
      </c>
      <c r="C28" s="45">
        <v>704</v>
      </c>
      <c r="D28" s="59">
        <v>709</v>
      </c>
      <c r="E28" s="248" t="s">
        <v>287</v>
      </c>
      <c r="F28" s="61"/>
      <c r="G28" s="39" t="s">
        <v>272</v>
      </c>
      <c r="H28" s="61"/>
      <c r="I28" s="243">
        <v>2343726</v>
      </c>
      <c r="J28" s="258">
        <v>2343726</v>
      </c>
      <c r="K28" s="70">
        <f t="shared" si="1"/>
        <v>0</v>
      </c>
      <c r="L28"/>
    </row>
    <row r="29" spans="1:12" hidden="1" x14ac:dyDescent="0.25">
      <c r="A29" s="43">
        <v>43147</v>
      </c>
      <c r="B29" s="117" t="s">
        <v>265</v>
      </c>
      <c r="C29" s="45">
        <v>704</v>
      </c>
      <c r="D29" s="59">
        <v>710</v>
      </c>
      <c r="E29" s="248" t="s">
        <v>288</v>
      </c>
      <c r="F29" s="61"/>
      <c r="G29" s="39" t="s">
        <v>275</v>
      </c>
      <c r="H29" s="61"/>
      <c r="I29" s="243">
        <v>2343726</v>
      </c>
      <c r="J29" s="258">
        <v>2343726</v>
      </c>
      <c r="K29" s="70">
        <f t="shared" si="1"/>
        <v>0</v>
      </c>
      <c r="L29"/>
    </row>
    <row r="30" spans="1:12" hidden="1" x14ac:dyDescent="0.25">
      <c r="A30" s="43">
        <v>43147</v>
      </c>
      <c r="B30" s="117" t="s">
        <v>265</v>
      </c>
      <c r="C30" s="45">
        <v>704</v>
      </c>
      <c r="D30" s="59">
        <v>711</v>
      </c>
      <c r="E30" s="248" t="s">
        <v>289</v>
      </c>
      <c r="F30" s="61"/>
      <c r="G30" s="39" t="s">
        <v>266</v>
      </c>
      <c r="H30" s="61"/>
      <c r="I30" s="243">
        <v>2343726</v>
      </c>
      <c r="J30" s="258">
        <v>2343726</v>
      </c>
      <c r="K30" s="70">
        <f t="shared" si="1"/>
        <v>0</v>
      </c>
      <c r="L30"/>
    </row>
    <row r="31" spans="1:12" hidden="1" x14ac:dyDescent="0.25">
      <c r="A31" s="43">
        <v>43147</v>
      </c>
      <c r="B31" s="117" t="s">
        <v>265</v>
      </c>
      <c r="C31" s="45">
        <v>704</v>
      </c>
      <c r="D31" s="59">
        <v>712</v>
      </c>
      <c r="E31" s="248" t="s">
        <v>290</v>
      </c>
      <c r="F31" s="61"/>
      <c r="G31" s="39" t="s">
        <v>269</v>
      </c>
      <c r="H31" s="61"/>
      <c r="I31" s="243">
        <v>702940</v>
      </c>
      <c r="J31" s="258">
        <v>702940</v>
      </c>
      <c r="K31" s="70">
        <f t="shared" si="1"/>
        <v>0</v>
      </c>
      <c r="L31"/>
    </row>
    <row r="32" spans="1:12" hidden="1" x14ac:dyDescent="0.25">
      <c r="A32" s="43">
        <v>43147</v>
      </c>
      <c r="B32" s="117" t="s">
        <v>265</v>
      </c>
      <c r="C32" s="45">
        <v>704</v>
      </c>
      <c r="D32" s="59">
        <v>713</v>
      </c>
      <c r="E32" s="248" t="s">
        <v>291</v>
      </c>
      <c r="F32" s="61"/>
      <c r="G32" s="39" t="s">
        <v>271</v>
      </c>
      <c r="H32" s="61"/>
      <c r="I32" s="243">
        <v>2343726</v>
      </c>
      <c r="J32" s="258">
        <v>2343726</v>
      </c>
      <c r="K32" s="70">
        <f t="shared" si="1"/>
        <v>0</v>
      </c>
      <c r="L32"/>
    </row>
    <row r="33" spans="1:12" x14ac:dyDescent="0.25">
      <c r="A33" s="43">
        <v>43257</v>
      </c>
      <c r="B33" s="117" t="s">
        <v>477</v>
      </c>
      <c r="C33" s="45">
        <v>744</v>
      </c>
      <c r="D33" s="59">
        <v>852</v>
      </c>
      <c r="E33" s="248" t="s">
        <v>350</v>
      </c>
      <c r="F33" s="61"/>
      <c r="G33" s="39" t="s">
        <v>478</v>
      </c>
      <c r="H33" s="61"/>
      <c r="I33" s="243">
        <v>436362066</v>
      </c>
      <c r="J33" s="258">
        <v>205554482</v>
      </c>
      <c r="K33" s="70">
        <f t="shared" si="1"/>
        <v>230807584</v>
      </c>
      <c r="L33"/>
    </row>
    <row r="34" spans="1:12" hidden="1" x14ac:dyDescent="0.25">
      <c r="A34" s="43">
        <v>43259</v>
      </c>
      <c r="B34" s="117" t="s">
        <v>489</v>
      </c>
      <c r="C34" s="45">
        <v>704</v>
      </c>
      <c r="D34" s="59">
        <v>860</v>
      </c>
      <c r="E34" s="248" t="s">
        <v>490</v>
      </c>
      <c r="F34" s="61"/>
      <c r="G34" s="39" t="s">
        <v>270</v>
      </c>
      <c r="H34" s="61"/>
      <c r="I34" s="243">
        <v>616700</v>
      </c>
      <c r="J34" s="258">
        <v>616700</v>
      </c>
      <c r="K34" s="70">
        <f t="shared" si="1"/>
        <v>0</v>
      </c>
      <c r="L34"/>
    </row>
    <row r="35" spans="1:12" hidden="1" x14ac:dyDescent="0.25">
      <c r="A35" s="43">
        <v>43259</v>
      </c>
      <c r="B35" s="117" t="s">
        <v>489</v>
      </c>
      <c r="C35" s="45">
        <v>704</v>
      </c>
      <c r="D35" s="59">
        <v>861</v>
      </c>
      <c r="E35" s="248" t="s">
        <v>491</v>
      </c>
      <c r="F35" s="61"/>
      <c r="G35" s="39" t="s">
        <v>498</v>
      </c>
      <c r="H35" s="61"/>
      <c r="I35" s="243">
        <v>1132635</v>
      </c>
      <c r="J35" s="258">
        <v>1132635</v>
      </c>
      <c r="K35" s="70">
        <f t="shared" si="1"/>
        <v>0</v>
      </c>
      <c r="L35"/>
    </row>
    <row r="36" spans="1:12" hidden="1" x14ac:dyDescent="0.25">
      <c r="A36" s="43">
        <v>43259</v>
      </c>
      <c r="B36" s="117" t="s">
        <v>489</v>
      </c>
      <c r="C36" s="45">
        <v>704</v>
      </c>
      <c r="D36" s="59">
        <v>862</v>
      </c>
      <c r="E36" s="248" t="s">
        <v>492</v>
      </c>
      <c r="F36" s="61"/>
      <c r="G36" s="39" t="s">
        <v>499</v>
      </c>
      <c r="H36" s="61"/>
      <c r="I36" s="243">
        <v>2343726</v>
      </c>
      <c r="J36" s="258">
        <v>2343726</v>
      </c>
      <c r="K36" s="70">
        <f t="shared" si="1"/>
        <v>0</v>
      </c>
      <c r="L36"/>
    </row>
    <row r="37" spans="1:12" hidden="1" x14ac:dyDescent="0.25">
      <c r="A37" s="43">
        <v>43259</v>
      </c>
      <c r="B37" s="117" t="s">
        <v>489</v>
      </c>
      <c r="C37" s="45">
        <v>803</v>
      </c>
      <c r="D37" s="59">
        <v>863</v>
      </c>
      <c r="E37" s="248" t="s">
        <v>493</v>
      </c>
      <c r="F37" s="61"/>
      <c r="G37" s="39" t="s">
        <v>271</v>
      </c>
      <c r="H37" s="61"/>
      <c r="I37" s="243">
        <v>2343726</v>
      </c>
      <c r="J37" s="258">
        <v>2343726</v>
      </c>
      <c r="K37" s="70">
        <f t="shared" si="1"/>
        <v>0</v>
      </c>
      <c r="L37"/>
    </row>
    <row r="38" spans="1:12" hidden="1" x14ac:dyDescent="0.25">
      <c r="A38" s="43">
        <v>43259</v>
      </c>
      <c r="B38" s="117" t="s">
        <v>489</v>
      </c>
      <c r="C38" s="45">
        <v>803</v>
      </c>
      <c r="D38" s="59">
        <v>864</v>
      </c>
      <c r="E38" s="248" t="s">
        <v>494</v>
      </c>
      <c r="F38" s="61"/>
      <c r="G38" s="39" t="s">
        <v>270</v>
      </c>
      <c r="H38" s="61"/>
      <c r="I38" s="243">
        <v>742350</v>
      </c>
      <c r="J38" s="258">
        <v>742350</v>
      </c>
      <c r="K38" s="70">
        <f t="shared" si="1"/>
        <v>0</v>
      </c>
      <c r="L38"/>
    </row>
    <row r="39" spans="1:12" hidden="1" x14ac:dyDescent="0.25">
      <c r="A39" s="43">
        <v>43259</v>
      </c>
      <c r="B39" s="117" t="s">
        <v>489</v>
      </c>
      <c r="C39" s="45">
        <v>803</v>
      </c>
      <c r="D39" s="59">
        <v>865</v>
      </c>
      <c r="E39" s="248" t="s">
        <v>495</v>
      </c>
      <c r="F39" s="61"/>
      <c r="G39" s="39" t="s">
        <v>500</v>
      </c>
      <c r="H39" s="61"/>
      <c r="I39" s="243">
        <v>2343726</v>
      </c>
      <c r="J39" s="258">
        <v>2343726</v>
      </c>
      <c r="K39" s="70">
        <f t="shared" si="1"/>
        <v>0</v>
      </c>
      <c r="L39"/>
    </row>
    <row r="40" spans="1:12" hidden="1" x14ac:dyDescent="0.25">
      <c r="A40" s="43">
        <v>43259</v>
      </c>
      <c r="B40" s="117" t="s">
        <v>489</v>
      </c>
      <c r="C40" s="45">
        <v>803</v>
      </c>
      <c r="D40" s="59">
        <v>866</v>
      </c>
      <c r="E40" s="248" t="s">
        <v>496</v>
      </c>
      <c r="F40" s="61"/>
      <c r="G40" s="39" t="s">
        <v>498</v>
      </c>
      <c r="H40" s="61"/>
      <c r="I40" s="243">
        <v>2343726</v>
      </c>
      <c r="J40" s="258">
        <v>2343726</v>
      </c>
      <c r="K40" s="70">
        <f t="shared" si="1"/>
        <v>0</v>
      </c>
      <c r="L40"/>
    </row>
    <row r="41" spans="1:12" hidden="1" x14ac:dyDescent="0.25">
      <c r="A41" s="43">
        <v>43259</v>
      </c>
      <c r="B41" s="117" t="s">
        <v>489</v>
      </c>
      <c r="C41" s="45">
        <v>803</v>
      </c>
      <c r="D41" s="59">
        <v>867</v>
      </c>
      <c r="E41" s="248" t="s">
        <v>497</v>
      </c>
      <c r="F41" s="61"/>
      <c r="G41" s="39" t="s">
        <v>274</v>
      </c>
      <c r="H41" s="61"/>
      <c r="I41" s="243">
        <v>1091160</v>
      </c>
      <c r="J41" s="258">
        <v>1091160</v>
      </c>
      <c r="K41" s="70">
        <f t="shared" si="1"/>
        <v>0</v>
      </c>
      <c r="L41"/>
    </row>
    <row r="42" spans="1:12" hidden="1" x14ac:dyDescent="0.25">
      <c r="A42" s="43">
        <v>43304</v>
      </c>
      <c r="B42" s="117" t="s">
        <v>567</v>
      </c>
      <c r="C42" s="45">
        <v>803</v>
      </c>
      <c r="D42" s="59">
        <v>931</v>
      </c>
      <c r="E42" s="248" t="s">
        <v>568</v>
      </c>
      <c r="F42" s="61"/>
      <c r="G42" s="39" t="s">
        <v>267</v>
      </c>
      <c r="H42" s="61"/>
      <c r="I42" s="243">
        <v>2137193</v>
      </c>
      <c r="J42" s="258">
        <v>2137193</v>
      </c>
      <c r="K42" s="70">
        <f t="shared" si="1"/>
        <v>0</v>
      </c>
      <c r="L42"/>
    </row>
    <row r="43" spans="1:12" hidden="1" x14ac:dyDescent="0.25">
      <c r="A43" s="43">
        <v>43304</v>
      </c>
      <c r="B43" s="117" t="s">
        <v>567</v>
      </c>
      <c r="C43" s="45">
        <v>704</v>
      </c>
      <c r="D43" s="59">
        <v>932</v>
      </c>
      <c r="E43" s="248" t="s">
        <v>568</v>
      </c>
      <c r="F43" s="61"/>
      <c r="G43" s="39" t="s">
        <v>267</v>
      </c>
      <c r="H43" s="61"/>
      <c r="I43" s="243">
        <v>50307</v>
      </c>
      <c r="J43" s="258">
        <v>50307</v>
      </c>
      <c r="K43" s="70">
        <f t="shared" si="1"/>
        <v>0</v>
      </c>
      <c r="L43"/>
    </row>
    <row r="44" spans="1:12" hidden="1" x14ac:dyDescent="0.25">
      <c r="A44" s="43">
        <v>43307</v>
      </c>
      <c r="B44" s="117" t="s">
        <v>574</v>
      </c>
      <c r="C44" s="45">
        <v>802</v>
      </c>
      <c r="D44" s="59">
        <v>942</v>
      </c>
      <c r="E44" s="248" t="s">
        <v>575</v>
      </c>
      <c r="F44" s="61"/>
      <c r="G44" s="39" t="s">
        <v>478</v>
      </c>
      <c r="H44" s="61"/>
      <c r="I44" s="243">
        <v>1562484</v>
      </c>
      <c r="J44" s="258">
        <v>1562484</v>
      </c>
      <c r="K44" s="70">
        <f t="shared" si="1"/>
        <v>0</v>
      </c>
      <c r="L44"/>
    </row>
    <row r="45" spans="1:12" hidden="1" x14ac:dyDescent="0.25">
      <c r="A45" s="43">
        <v>43307</v>
      </c>
      <c r="B45" s="117" t="s">
        <v>574</v>
      </c>
      <c r="C45" s="45">
        <v>802</v>
      </c>
      <c r="D45" s="59">
        <v>943</v>
      </c>
      <c r="E45" s="248" t="s">
        <v>576</v>
      </c>
      <c r="F45" s="61"/>
      <c r="G45" s="39" t="s">
        <v>478</v>
      </c>
      <c r="H45" s="61"/>
      <c r="I45" s="243">
        <v>1562484</v>
      </c>
      <c r="J45" s="258">
        <v>1562484</v>
      </c>
      <c r="K45" s="70">
        <f t="shared" si="1"/>
        <v>0</v>
      </c>
      <c r="L45"/>
    </row>
    <row r="46" spans="1:12" hidden="1" x14ac:dyDescent="0.25">
      <c r="A46" s="43">
        <v>43307</v>
      </c>
      <c r="B46" s="117" t="s">
        <v>574</v>
      </c>
      <c r="C46" s="45">
        <v>802</v>
      </c>
      <c r="D46" s="59">
        <v>944</v>
      </c>
      <c r="E46" s="248" t="s">
        <v>577</v>
      </c>
      <c r="F46" s="61"/>
      <c r="G46" s="39" t="s">
        <v>582</v>
      </c>
      <c r="H46" s="61"/>
      <c r="I46" s="243">
        <v>1562484</v>
      </c>
      <c r="J46" s="258">
        <v>1562484</v>
      </c>
      <c r="K46" s="70">
        <f t="shared" si="1"/>
        <v>0</v>
      </c>
      <c r="L46"/>
    </row>
    <row r="47" spans="1:12" hidden="1" x14ac:dyDescent="0.25">
      <c r="A47" s="43">
        <v>43307</v>
      </c>
      <c r="B47" s="117" t="s">
        <v>574</v>
      </c>
      <c r="C47" s="45">
        <v>802</v>
      </c>
      <c r="D47" s="59">
        <v>946</v>
      </c>
      <c r="E47" s="248" t="s">
        <v>578</v>
      </c>
      <c r="F47" s="61"/>
      <c r="G47" s="39" t="s">
        <v>583</v>
      </c>
      <c r="H47" s="61"/>
      <c r="I47" s="243">
        <v>1562484</v>
      </c>
      <c r="J47" s="258">
        <v>1562484</v>
      </c>
      <c r="K47" s="70">
        <f t="shared" si="1"/>
        <v>0</v>
      </c>
      <c r="L47"/>
    </row>
    <row r="48" spans="1:12" hidden="1" x14ac:dyDescent="0.25">
      <c r="A48" s="43">
        <v>43307</v>
      </c>
      <c r="B48" s="117" t="s">
        <v>574</v>
      </c>
      <c r="C48" s="45">
        <v>802</v>
      </c>
      <c r="D48" s="59">
        <v>947</v>
      </c>
      <c r="E48" s="248" t="s">
        <v>579</v>
      </c>
      <c r="F48" s="61"/>
      <c r="G48" s="39" t="s">
        <v>584</v>
      </c>
      <c r="H48" s="61"/>
      <c r="I48" s="243">
        <v>1562484</v>
      </c>
      <c r="J48" s="258">
        <v>1562484</v>
      </c>
      <c r="K48" s="70">
        <f t="shared" si="1"/>
        <v>0</v>
      </c>
      <c r="L48"/>
    </row>
    <row r="49" spans="1:12" hidden="1" x14ac:dyDescent="0.25">
      <c r="A49" s="43">
        <v>43307</v>
      </c>
      <c r="B49" s="117" t="s">
        <v>574</v>
      </c>
      <c r="C49" s="45">
        <v>802</v>
      </c>
      <c r="D49" s="59">
        <v>948</v>
      </c>
      <c r="E49" s="248" t="s">
        <v>580</v>
      </c>
      <c r="F49" s="61"/>
      <c r="G49" s="39" t="s">
        <v>478</v>
      </c>
      <c r="H49" s="61"/>
      <c r="I49" s="243">
        <v>1562484</v>
      </c>
      <c r="J49" s="258">
        <v>1562484</v>
      </c>
      <c r="K49" s="70">
        <f t="shared" si="1"/>
        <v>0</v>
      </c>
      <c r="L49"/>
    </row>
    <row r="50" spans="1:12" hidden="1" x14ac:dyDescent="0.25">
      <c r="A50" s="43">
        <v>43307</v>
      </c>
      <c r="B50" s="117" t="s">
        <v>574</v>
      </c>
      <c r="C50" s="45">
        <v>802</v>
      </c>
      <c r="D50" s="59">
        <v>949</v>
      </c>
      <c r="E50" s="248" t="s">
        <v>581</v>
      </c>
      <c r="F50" s="61"/>
      <c r="G50" s="39" t="s">
        <v>585</v>
      </c>
      <c r="H50" s="61"/>
      <c r="I50" s="243">
        <v>1562484</v>
      </c>
      <c r="J50" s="258">
        <v>1562484</v>
      </c>
      <c r="K50" s="70">
        <f t="shared" si="1"/>
        <v>0</v>
      </c>
      <c r="L50"/>
    </row>
    <row r="51" spans="1:12" hidden="1" x14ac:dyDescent="0.25">
      <c r="A51" s="324">
        <v>43320</v>
      </c>
      <c r="B51" s="117" t="s">
        <v>595</v>
      </c>
      <c r="C51" s="45">
        <v>802</v>
      </c>
      <c r="D51" s="59">
        <v>964</v>
      </c>
      <c r="E51" s="248" t="s">
        <v>597</v>
      </c>
      <c r="F51" s="61"/>
      <c r="G51" s="39" t="s">
        <v>266</v>
      </c>
      <c r="H51" s="61"/>
      <c r="I51" s="243">
        <v>8593662</v>
      </c>
      <c r="J51" s="258">
        <v>8593662</v>
      </c>
      <c r="K51" s="70">
        <f t="shared" si="1"/>
        <v>0</v>
      </c>
      <c r="L51"/>
    </row>
    <row r="52" spans="1:12" hidden="1" x14ac:dyDescent="0.25">
      <c r="A52" s="324">
        <v>43320</v>
      </c>
      <c r="B52" s="117" t="s">
        <v>595</v>
      </c>
      <c r="C52" s="45">
        <v>802</v>
      </c>
      <c r="D52" s="59">
        <v>965</v>
      </c>
      <c r="E52" s="248" t="s">
        <v>598</v>
      </c>
      <c r="F52" s="61"/>
      <c r="G52" s="39" t="s">
        <v>478</v>
      </c>
      <c r="H52" s="61"/>
      <c r="I52" s="243">
        <v>5468694</v>
      </c>
      <c r="J52" s="258">
        <v>5468694</v>
      </c>
      <c r="K52" s="70">
        <f t="shared" si="1"/>
        <v>0</v>
      </c>
      <c r="L52"/>
    </row>
    <row r="53" spans="1:12" hidden="1" x14ac:dyDescent="0.25">
      <c r="A53" s="324">
        <v>43320</v>
      </c>
      <c r="B53" s="117" t="s">
        <v>595</v>
      </c>
      <c r="C53" s="45">
        <v>802</v>
      </c>
      <c r="D53" s="59">
        <v>966</v>
      </c>
      <c r="E53" s="248" t="s">
        <v>599</v>
      </c>
      <c r="F53" s="61"/>
      <c r="G53" s="39" t="s">
        <v>613</v>
      </c>
      <c r="H53" s="61"/>
      <c r="I53" s="243">
        <v>5468694</v>
      </c>
      <c r="J53" s="258">
        <v>5468694</v>
      </c>
      <c r="K53" s="70">
        <f t="shared" si="1"/>
        <v>0</v>
      </c>
      <c r="L53"/>
    </row>
    <row r="54" spans="1:12" hidden="1" x14ac:dyDescent="0.25">
      <c r="A54" s="324">
        <v>43320</v>
      </c>
      <c r="B54" s="117" t="s">
        <v>596</v>
      </c>
      <c r="C54" s="45">
        <v>802</v>
      </c>
      <c r="D54" s="59">
        <v>967</v>
      </c>
      <c r="E54" s="248" t="s">
        <v>600</v>
      </c>
      <c r="F54" s="61"/>
      <c r="G54" s="39" t="s">
        <v>614</v>
      </c>
      <c r="H54" s="61"/>
      <c r="I54" s="243">
        <v>1562484</v>
      </c>
      <c r="J54" s="258">
        <v>1562484</v>
      </c>
      <c r="K54" s="70">
        <f t="shared" si="1"/>
        <v>0</v>
      </c>
      <c r="L54"/>
    </row>
    <row r="55" spans="1:12" hidden="1" x14ac:dyDescent="0.25">
      <c r="A55" s="324">
        <v>43320</v>
      </c>
      <c r="B55" s="117" t="s">
        <v>596</v>
      </c>
      <c r="C55" s="45">
        <v>802</v>
      </c>
      <c r="D55" s="59">
        <v>968</v>
      </c>
      <c r="E55" s="248" t="s">
        <v>601</v>
      </c>
      <c r="F55" s="61"/>
      <c r="G55" s="39" t="s">
        <v>615</v>
      </c>
      <c r="H55" s="61"/>
      <c r="I55" s="243">
        <v>1562484</v>
      </c>
      <c r="J55" s="258">
        <v>1562484</v>
      </c>
      <c r="K55" s="70">
        <f t="shared" si="1"/>
        <v>0</v>
      </c>
      <c r="L55"/>
    </row>
    <row r="56" spans="1:12" hidden="1" x14ac:dyDescent="0.25">
      <c r="A56" s="324">
        <v>43320</v>
      </c>
      <c r="B56" s="117" t="s">
        <v>596</v>
      </c>
      <c r="C56" s="45">
        <v>802</v>
      </c>
      <c r="D56" s="59">
        <v>969</v>
      </c>
      <c r="E56" s="248" t="s">
        <v>602</v>
      </c>
      <c r="F56" s="61"/>
      <c r="G56" s="39" t="s">
        <v>582</v>
      </c>
      <c r="H56" s="61"/>
      <c r="I56" s="243">
        <v>1562484</v>
      </c>
      <c r="J56" s="258">
        <v>1562484</v>
      </c>
      <c r="K56" s="70">
        <f t="shared" si="1"/>
        <v>0</v>
      </c>
      <c r="L56"/>
    </row>
    <row r="57" spans="1:12" hidden="1" x14ac:dyDescent="0.25">
      <c r="A57" s="324">
        <v>43320</v>
      </c>
      <c r="B57" s="117" t="s">
        <v>596</v>
      </c>
      <c r="C57" s="45">
        <v>802</v>
      </c>
      <c r="D57" s="59">
        <v>970</v>
      </c>
      <c r="E57" s="248" t="s">
        <v>603</v>
      </c>
      <c r="F57" s="61"/>
      <c r="G57" s="39" t="s">
        <v>616</v>
      </c>
      <c r="H57" s="61"/>
      <c r="I57" s="243">
        <v>1562484</v>
      </c>
      <c r="J57" s="258">
        <v>1562484</v>
      </c>
      <c r="K57" s="70">
        <f t="shared" si="1"/>
        <v>0</v>
      </c>
      <c r="L57"/>
    </row>
    <row r="58" spans="1:12" hidden="1" x14ac:dyDescent="0.25">
      <c r="A58" s="324">
        <v>43320</v>
      </c>
      <c r="B58" s="117" t="s">
        <v>596</v>
      </c>
      <c r="C58" s="45">
        <v>802</v>
      </c>
      <c r="D58" s="59">
        <v>971</v>
      </c>
      <c r="E58" s="248" t="s">
        <v>604</v>
      </c>
      <c r="F58" s="61"/>
      <c r="G58" s="39" t="s">
        <v>617</v>
      </c>
      <c r="H58" s="61"/>
      <c r="I58" s="243">
        <v>1562484</v>
      </c>
      <c r="J58" s="258">
        <v>1562484</v>
      </c>
      <c r="K58" s="70">
        <f t="shared" si="1"/>
        <v>0</v>
      </c>
      <c r="L58"/>
    </row>
    <row r="59" spans="1:12" hidden="1" x14ac:dyDescent="0.25">
      <c r="A59" s="324">
        <v>43320</v>
      </c>
      <c r="B59" s="117" t="s">
        <v>596</v>
      </c>
      <c r="C59" s="45">
        <v>802</v>
      </c>
      <c r="D59" s="59">
        <v>972</v>
      </c>
      <c r="E59" s="248" t="s">
        <v>605</v>
      </c>
      <c r="F59" s="61"/>
      <c r="G59" s="39" t="s">
        <v>618</v>
      </c>
      <c r="H59" s="61"/>
      <c r="I59" s="243">
        <v>1562484</v>
      </c>
      <c r="J59" s="258">
        <v>1562484</v>
      </c>
      <c r="K59" s="70">
        <f t="shared" si="1"/>
        <v>0</v>
      </c>
      <c r="L59"/>
    </row>
    <row r="60" spans="1:12" hidden="1" x14ac:dyDescent="0.25">
      <c r="A60" s="324">
        <v>43320</v>
      </c>
      <c r="B60" s="117" t="s">
        <v>596</v>
      </c>
      <c r="C60" s="45">
        <v>802</v>
      </c>
      <c r="D60" s="59">
        <v>973</v>
      </c>
      <c r="E60" s="248" t="s">
        <v>606</v>
      </c>
      <c r="F60" s="61"/>
      <c r="G60" s="39" t="s">
        <v>619</v>
      </c>
      <c r="H60" s="61"/>
      <c r="I60" s="243">
        <v>1562484</v>
      </c>
      <c r="J60" s="258">
        <v>1562484</v>
      </c>
      <c r="K60" s="70">
        <f t="shared" si="1"/>
        <v>0</v>
      </c>
      <c r="L60"/>
    </row>
    <row r="61" spans="1:12" hidden="1" x14ac:dyDescent="0.25">
      <c r="A61" s="324">
        <v>43320</v>
      </c>
      <c r="B61" s="117" t="s">
        <v>596</v>
      </c>
      <c r="C61" s="45">
        <v>802</v>
      </c>
      <c r="D61" s="59">
        <v>974</v>
      </c>
      <c r="E61" s="248" t="s">
        <v>607</v>
      </c>
      <c r="F61" s="61"/>
      <c r="G61" s="39" t="s">
        <v>620</v>
      </c>
      <c r="H61" s="61"/>
      <c r="I61" s="243">
        <v>1562484</v>
      </c>
      <c r="J61" s="258">
        <v>1562484</v>
      </c>
      <c r="K61" s="70">
        <f t="shared" si="1"/>
        <v>0</v>
      </c>
      <c r="L61"/>
    </row>
    <row r="62" spans="1:12" hidden="1" x14ac:dyDescent="0.25">
      <c r="A62" s="324">
        <v>43320</v>
      </c>
      <c r="B62" s="117" t="s">
        <v>596</v>
      </c>
      <c r="C62" s="45">
        <v>802</v>
      </c>
      <c r="D62" s="59">
        <v>975</v>
      </c>
      <c r="E62" s="248" t="s">
        <v>608</v>
      </c>
      <c r="F62" s="61"/>
      <c r="G62" s="39" t="s">
        <v>478</v>
      </c>
      <c r="H62" s="61"/>
      <c r="I62" s="243">
        <v>1562484</v>
      </c>
      <c r="J62" s="258">
        <v>1562484</v>
      </c>
      <c r="K62" s="70">
        <f t="shared" si="1"/>
        <v>0</v>
      </c>
      <c r="L62"/>
    </row>
    <row r="63" spans="1:12" hidden="1" x14ac:dyDescent="0.25">
      <c r="A63" s="324">
        <v>43320</v>
      </c>
      <c r="B63" s="117" t="s">
        <v>596</v>
      </c>
      <c r="C63" s="45">
        <v>802</v>
      </c>
      <c r="D63" s="59">
        <v>977</v>
      </c>
      <c r="E63" s="248" t="s">
        <v>609</v>
      </c>
      <c r="F63" s="61"/>
      <c r="G63" s="39" t="s">
        <v>621</v>
      </c>
      <c r="H63" s="61"/>
      <c r="I63" s="243">
        <v>1562484</v>
      </c>
      <c r="J63" s="258">
        <v>1562484</v>
      </c>
      <c r="K63" s="70">
        <f t="shared" si="1"/>
        <v>0</v>
      </c>
      <c r="L63"/>
    </row>
    <row r="64" spans="1:12" hidden="1" x14ac:dyDescent="0.25">
      <c r="A64" s="324">
        <v>43320</v>
      </c>
      <c r="B64" s="117" t="s">
        <v>596</v>
      </c>
      <c r="C64" s="45">
        <v>802</v>
      </c>
      <c r="D64" s="59">
        <v>978</v>
      </c>
      <c r="E64" s="248" t="s">
        <v>610</v>
      </c>
      <c r="F64" s="61"/>
      <c r="G64" s="39" t="s">
        <v>270</v>
      </c>
      <c r="H64" s="61"/>
      <c r="I64" s="243">
        <v>1562484</v>
      </c>
      <c r="J64" s="258">
        <v>1562484</v>
      </c>
      <c r="K64" s="70">
        <f t="shared" si="1"/>
        <v>0</v>
      </c>
      <c r="L64"/>
    </row>
    <row r="65" spans="1:12" hidden="1" x14ac:dyDescent="0.25">
      <c r="A65" s="324">
        <v>43320</v>
      </c>
      <c r="B65" s="117" t="s">
        <v>596</v>
      </c>
      <c r="C65" s="45">
        <v>802</v>
      </c>
      <c r="D65" s="59">
        <v>980</v>
      </c>
      <c r="E65" s="248" t="s">
        <v>611</v>
      </c>
      <c r="F65" s="61"/>
      <c r="G65" s="39" t="s">
        <v>622</v>
      </c>
      <c r="H65" s="61"/>
      <c r="I65" s="243">
        <v>1562484</v>
      </c>
      <c r="J65" s="258">
        <v>1562484</v>
      </c>
      <c r="K65" s="70">
        <f t="shared" si="1"/>
        <v>0</v>
      </c>
      <c r="L65"/>
    </row>
    <row r="66" spans="1:12" hidden="1" x14ac:dyDescent="0.25">
      <c r="A66" s="324">
        <v>43321</v>
      </c>
      <c r="B66" s="117" t="s">
        <v>596</v>
      </c>
      <c r="C66" s="45">
        <v>802</v>
      </c>
      <c r="D66" s="59">
        <v>981</v>
      </c>
      <c r="E66" s="248" t="s">
        <v>612</v>
      </c>
      <c r="F66" s="61"/>
      <c r="G66" s="39" t="s">
        <v>623</v>
      </c>
      <c r="H66" s="61"/>
      <c r="I66" s="243">
        <v>1562484</v>
      </c>
      <c r="J66" s="258">
        <v>1562484</v>
      </c>
      <c r="K66" s="70">
        <f t="shared" si="1"/>
        <v>0</v>
      </c>
      <c r="L66"/>
    </row>
    <row r="67" spans="1:12" hidden="1" x14ac:dyDescent="0.25">
      <c r="A67" s="324">
        <v>43329</v>
      </c>
      <c r="B67" s="117" t="s">
        <v>669</v>
      </c>
      <c r="C67" s="45">
        <v>802</v>
      </c>
      <c r="D67" s="59">
        <v>1001</v>
      </c>
      <c r="E67" s="248" t="s">
        <v>670</v>
      </c>
      <c r="F67" s="61"/>
      <c r="G67" s="39" t="s">
        <v>478</v>
      </c>
      <c r="H67" s="61"/>
      <c r="I67" s="243">
        <v>1562484</v>
      </c>
      <c r="J67" s="258">
        <v>1562484</v>
      </c>
      <c r="K67" s="70">
        <f t="shared" si="1"/>
        <v>0</v>
      </c>
      <c r="L67"/>
    </row>
    <row r="68" spans="1:12" hidden="1" x14ac:dyDescent="0.25">
      <c r="A68" s="324">
        <v>43329</v>
      </c>
      <c r="B68" s="117" t="s">
        <v>669</v>
      </c>
      <c r="C68" s="45">
        <v>802</v>
      </c>
      <c r="D68" s="59">
        <v>1002</v>
      </c>
      <c r="E68" s="248" t="s">
        <v>671</v>
      </c>
      <c r="F68" s="61"/>
      <c r="G68" s="39" t="s">
        <v>478</v>
      </c>
      <c r="H68" s="61"/>
      <c r="I68" s="243">
        <v>1562484</v>
      </c>
      <c r="J68" s="258">
        <v>1562484</v>
      </c>
      <c r="K68" s="70">
        <f t="shared" si="1"/>
        <v>0</v>
      </c>
      <c r="L68"/>
    </row>
    <row r="69" spans="1:12" hidden="1" x14ac:dyDescent="0.25">
      <c r="A69" s="324">
        <v>43329</v>
      </c>
      <c r="B69" s="117" t="s">
        <v>669</v>
      </c>
      <c r="C69" s="45">
        <v>802</v>
      </c>
      <c r="D69" s="59">
        <v>1003</v>
      </c>
      <c r="E69" s="248" t="s">
        <v>672</v>
      </c>
      <c r="F69" s="61"/>
      <c r="G69" s="39" t="s">
        <v>674</v>
      </c>
      <c r="H69" s="61"/>
      <c r="I69" s="243">
        <v>1562484</v>
      </c>
      <c r="J69" s="258">
        <v>1562484</v>
      </c>
      <c r="K69" s="70">
        <f t="shared" si="1"/>
        <v>0</v>
      </c>
      <c r="L69"/>
    </row>
    <row r="70" spans="1:12" hidden="1" x14ac:dyDescent="0.25">
      <c r="A70" s="324">
        <v>43329</v>
      </c>
      <c r="B70" s="117" t="s">
        <v>669</v>
      </c>
      <c r="C70" s="45">
        <v>802</v>
      </c>
      <c r="D70" s="59">
        <v>1004</v>
      </c>
      <c r="E70" s="248" t="s">
        <v>673</v>
      </c>
      <c r="F70" s="61"/>
      <c r="G70" s="39" t="s">
        <v>478</v>
      </c>
      <c r="H70" s="61"/>
      <c r="I70" s="243">
        <v>1562484</v>
      </c>
      <c r="J70" s="258">
        <v>1562484</v>
      </c>
      <c r="K70" s="70">
        <f t="shared" si="1"/>
        <v>0</v>
      </c>
      <c r="L70"/>
    </row>
    <row r="71" spans="1:12" hidden="1" x14ac:dyDescent="0.25">
      <c r="A71" s="324">
        <v>43347</v>
      </c>
      <c r="B71" s="117" t="s">
        <v>707</v>
      </c>
      <c r="C71" s="45">
        <v>800</v>
      </c>
      <c r="D71" s="59">
        <v>1063</v>
      </c>
      <c r="E71" s="248" t="s">
        <v>708</v>
      </c>
      <c r="F71" s="61"/>
      <c r="G71" s="39" t="s">
        <v>709</v>
      </c>
      <c r="H71" s="61"/>
      <c r="I71" s="243">
        <v>1800000</v>
      </c>
      <c r="J71" s="258">
        <v>1800000</v>
      </c>
      <c r="K71" s="70">
        <f t="shared" si="1"/>
        <v>0</v>
      </c>
      <c r="L71"/>
    </row>
    <row r="72" spans="1:12" x14ac:dyDescent="0.25">
      <c r="A72" s="43">
        <v>43417</v>
      </c>
      <c r="B72" s="117" t="s">
        <v>477</v>
      </c>
      <c r="C72" s="45">
        <v>1473</v>
      </c>
      <c r="D72" s="59">
        <v>1659</v>
      </c>
      <c r="E72" s="248" t="s">
        <v>836</v>
      </c>
      <c r="F72" s="61"/>
      <c r="G72" s="39" t="s">
        <v>478</v>
      </c>
      <c r="H72" s="61"/>
      <c r="I72" s="243">
        <v>25000000</v>
      </c>
      <c r="J72" s="258">
        <v>0</v>
      </c>
      <c r="K72" s="70">
        <f t="shared" si="1"/>
        <v>25000000</v>
      </c>
      <c r="L72"/>
    </row>
    <row r="73" spans="1:12" ht="12.75" customHeight="1" x14ac:dyDescent="0.25">
      <c r="A73" s="43"/>
      <c r="B73" s="58"/>
      <c r="C73" s="36"/>
      <c r="D73" s="36"/>
      <c r="E73" s="39"/>
      <c r="F73" s="44"/>
      <c r="G73" s="39"/>
      <c r="H73" s="44"/>
      <c r="I73" s="83"/>
      <c r="J73" s="83"/>
      <c r="K73" s="83"/>
    </row>
    <row r="74" spans="1:12" x14ac:dyDescent="0.25">
      <c r="A74" s="50"/>
      <c r="B74" s="51"/>
      <c r="C74" s="51"/>
      <c r="D74" s="51"/>
      <c r="E74" s="51"/>
      <c r="F74" s="51"/>
      <c r="G74" s="344" t="s">
        <v>131</v>
      </c>
      <c r="H74" s="345"/>
      <c r="I74" s="73">
        <f>SUM(I16:I73)</f>
        <v>565194613</v>
      </c>
      <c r="J74" s="73">
        <f>SUM(J16:J73)</f>
        <v>309387029</v>
      </c>
      <c r="K74" s="73">
        <f>SUM(K16:K73)</f>
        <v>255807584</v>
      </c>
    </row>
    <row r="75" spans="1:12" ht="12.75" customHeight="1" x14ac:dyDescent="0.25">
      <c r="A75" s="3"/>
      <c r="B75" s="3"/>
      <c r="C75" s="3"/>
      <c r="D75" s="3"/>
      <c r="E75" s="3"/>
      <c r="F75" s="3"/>
      <c r="G75" s="3"/>
      <c r="H75" s="3"/>
      <c r="I75" s="22"/>
      <c r="J75" s="82"/>
      <c r="K75" s="51"/>
    </row>
    <row r="76" spans="1:12" ht="24.95" customHeight="1" x14ac:dyDescent="0.25">
      <c r="A76" s="284" t="s">
        <v>58</v>
      </c>
      <c r="B76" s="284" t="s">
        <v>132</v>
      </c>
      <c r="C76" s="284" t="s">
        <v>30</v>
      </c>
      <c r="D76" s="285" t="s">
        <v>59</v>
      </c>
      <c r="E76" s="284" t="s">
        <v>40</v>
      </c>
      <c r="F76" s="284" t="s">
        <v>62</v>
      </c>
      <c r="G76" s="284" t="s">
        <v>37</v>
      </c>
      <c r="H76" s="284" t="s">
        <v>60</v>
      </c>
      <c r="I76" s="284" t="s">
        <v>61</v>
      </c>
      <c r="J76" s="284" t="s">
        <v>98</v>
      </c>
      <c r="K76" s="284" t="s">
        <v>68</v>
      </c>
    </row>
    <row r="77" spans="1:12" ht="24.95" customHeight="1" x14ac:dyDescent="0.25">
      <c r="A77" s="291">
        <v>652711000</v>
      </c>
      <c r="B77" s="291">
        <v>-23000000</v>
      </c>
      <c r="C77" s="291">
        <v>0</v>
      </c>
      <c r="D77" s="287">
        <f>+A77+B77-C77</f>
        <v>629711000</v>
      </c>
      <c r="E77" s="287">
        <f>+I74</f>
        <v>565194613</v>
      </c>
      <c r="F77" s="288">
        <f>+E77/D77</f>
        <v>0.89754603778558739</v>
      </c>
      <c r="G77" s="287">
        <f>+I12</f>
        <v>46108865</v>
      </c>
      <c r="H77" s="287">
        <f>+D77-E77-G77</f>
        <v>18407522</v>
      </c>
      <c r="I77" s="287">
        <f>+J74</f>
        <v>309387029</v>
      </c>
      <c r="J77" s="293">
        <f>+I77/D77</f>
        <v>0.4913159036446878</v>
      </c>
      <c r="K77" s="287">
        <f>+K74</f>
        <v>255807584</v>
      </c>
    </row>
    <row r="78" spans="1:12" x14ac:dyDescent="0.25">
      <c r="A78" s="290">
        <v>1</v>
      </c>
      <c r="B78" s="290">
        <v>2</v>
      </c>
      <c r="C78" s="290">
        <v>3</v>
      </c>
      <c r="D78" s="290" t="s">
        <v>42</v>
      </c>
      <c r="E78" s="290">
        <v>5</v>
      </c>
      <c r="F78" s="290" t="s">
        <v>69</v>
      </c>
      <c r="G78" s="290">
        <v>7</v>
      </c>
      <c r="H78" s="290" t="s">
        <v>70</v>
      </c>
      <c r="I78" s="290">
        <v>9</v>
      </c>
      <c r="J78" s="290" t="s">
        <v>99</v>
      </c>
      <c r="K78" s="290" t="s">
        <v>100</v>
      </c>
    </row>
    <row r="81" spans="10:10" x14ac:dyDescent="0.25">
      <c r="J81" s="211"/>
    </row>
  </sheetData>
  <mergeCells count="15">
    <mergeCell ref="J14:J15"/>
    <mergeCell ref="I14:I15"/>
    <mergeCell ref="A14:A15"/>
    <mergeCell ref="B5:B6"/>
    <mergeCell ref="D5:D6"/>
    <mergeCell ref="I5:I6"/>
    <mergeCell ref="J5:K6"/>
    <mergeCell ref="A5:A6"/>
    <mergeCell ref="G74:H74"/>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5"/>
  <sheetViews>
    <sheetView workbookViewId="0">
      <selection activeCell="A15" sqref="A15:XFD15"/>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114</v>
      </c>
      <c r="B3" s="278" t="s">
        <v>53</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36"/>
      <c r="B7" s="37"/>
      <c r="C7" s="38"/>
      <c r="D7" s="39"/>
      <c r="E7" s="37"/>
      <c r="F7" s="40"/>
      <c r="G7" s="41"/>
      <c r="H7" s="42"/>
      <c r="I7" s="38"/>
      <c r="J7" s="37"/>
      <c r="K7" s="38"/>
    </row>
    <row r="8" spans="1:11" x14ac:dyDescent="0.25">
      <c r="A8" s="43"/>
      <c r="B8" s="39"/>
      <c r="C8" s="44"/>
      <c r="D8" s="45"/>
      <c r="E8" s="260"/>
      <c r="F8" s="32"/>
      <c r="G8" s="46"/>
      <c r="H8" s="47"/>
      <c r="I8" s="67"/>
      <c r="J8" s="39"/>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4" t="s">
        <v>131</v>
      </c>
      <c r="H10" s="345"/>
      <c r="I10" s="69">
        <f>SUM(I8:I9)</f>
        <v>0</v>
      </c>
      <c r="J10" s="52"/>
      <c r="K10" s="53"/>
    </row>
    <row r="11" spans="1:11" ht="12.75" customHeight="1" x14ac:dyDescent="0.25">
      <c r="A11" s="3"/>
      <c r="B11" s="3"/>
      <c r="C11" s="3"/>
      <c r="D11" s="3"/>
      <c r="E11" s="3"/>
      <c r="F11" s="3"/>
      <c r="G11" s="3"/>
      <c r="H11" s="3"/>
      <c r="I11" s="22"/>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2.75" customHeight="1" x14ac:dyDescent="0.25">
      <c r="A14" s="130"/>
      <c r="B14" s="36"/>
      <c r="C14" s="36"/>
      <c r="D14" s="36"/>
      <c r="E14" s="39"/>
      <c r="F14" s="44"/>
      <c r="G14" s="39"/>
      <c r="H14" s="44"/>
      <c r="I14" s="57"/>
      <c r="J14" s="57"/>
      <c r="K14" s="70"/>
    </row>
    <row r="15" spans="1:11" hidden="1" x14ac:dyDescent="0.25">
      <c r="A15" s="43">
        <v>43265</v>
      </c>
      <c r="B15" s="58" t="s">
        <v>508</v>
      </c>
      <c r="C15" s="59">
        <v>812</v>
      </c>
      <c r="D15" s="59">
        <v>869</v>
      </c>
      <c r="E15" s="39" t="s">
        <v>501</v>
      </c>
      <c r="F15" s="61"/>
      <c r="G15" s="60" t="s">
        <v>509</v>
      </c>
      <c r="H15" s="61"/>
      <c r="I15" s="70">
        <v>60000000</v>
      </c>
      <c r="J15" s="70">
        <v>60000000</v>
      </c>
      <c r="K15" s="70">
        <f t="shared" ref="K15:K17" si="0">+I15-J15</f>
        <v>0</v>
      </c>
    </row>
    <row r="16" spans="1:11" x14ac:dyDescent="0.25">
      <c r="A16" s="43">
        <v>43371</v>
      </c>
      <c r="B16" s="58" t="s">
        <v>508</v>
      </c>
      <c r="C16" s="59">
        <v>1352</v>
      </c>
      <c r="D16" s="59">
        <v>1503</v>
      </c>
      <c r="E16" s="39" t="s">
        <v>741</v>
      </c>
      <c r="F16" s="81"/>
      <c r="G16" s="60" t="s">
        <v>509</v>
      </c>
      <c r="H16" s="76"/>
      <c r="I16" s="71">
        <v>30000000</v>
      </c>
      <c r="J16" s="71">
        <v>2001839</v>
      </c>
      <c r="K16" s="70">
        <f t="shared" si="0"/>
        <v>27998161</v>
      </c>
    </row>
    <row r="17" spans="1:11" x14ac:dyDescent="0.25">
      <c r="A17" s="43">
        <v>43395</v>
      </c>
      <c r="B17" s="58" t="s">
        <v>801</v>
      </c>
      <c r="C17" s="59">
        <v>947</v>
      </c>
      <c r="D17" s="59">
        <v>1625</v>
      </c>
      <c r="E17" s="31" t="s">
        <v>710</v>
      </c>
      <c r="F17" s="61"/>
      <c r="G17" t="s">
        <v>802</v>
      </c>
      <c r="H17" s="61"/>
      <c r="I17" s="62">
        <v>90000000</v>
      </c>
      <c r="J17" s="62">
        <v>0</v>
      </c>
      <c r="K17" s="70">
        <f t="shared" si="0"/>
        <v>90000000</v>
      </c>
    </row>
    <row r="18" spans="1:11" x14ac:dyDescent="0.25">
      <c r="A18" s="43"/>
      <c r="B18" s="58"/>
      <c r="C18" s="59"/>
      <c r="D18" s="59"/>
      <c r="E18" s="60"/>
      <c r="F18" s="61"/>
      <c r="G18" s="60"/>
      <c r="H18" s="61"/>
      <c r="I18" s="62"/>
      <c r="J18" s="62"/>
      <c r="K18" s="70"/>
    </row>
    <row r="19" spans="1:11" x14ac:dyDescent="0.25">
      <c r="A19" s="43"/>
      <c r="B19" s="58"/>
      <c r="C19" s="59"/>
      <c r="D19" s="59"/>
      <c r="E19" s="60"/>
      <c r="F19" s="61"/>
      <c r="G19" s="60"/>
      <c r="H19" s="61"/>
      <c r="I19" s="62"/>
      <c r="J19" s="62"/>
      <c r="K19" s="70"/>
    </row>
    <row r="20" spans="1:11" ht="12.75" customHeight="1" x14ac:dyDescent="0.25">
      <c r="A20" s="43"/>
      <c r="B20" s="58"/>
      <c r="C20" s="36"/>
      <c r="D20" s="36"/>
      <c r="E20" s="39"/>
      <c r="F20" s="44"/>
      <c r="G20" s="39"/>
      <c r="H20" s="44"/>
      <c r="I20" s="64"/>
      <c r="J20" s="64"/>
      <c r="K20" s="64"/>
    </row>
    <row r="21" spans="1:11" x14ac:dyDescent="0.25">
      <c r="A21" s="50"/>
      <c r="B21" s="51"/>
      <c r="C21" s="51"/>
      <c r="D21" s="51"/>
      <c r="E21" s="51"/>
      <c r="F21" s="51"/>
      <c r="G21" s="344" t="s">
        <v>131</v>
      </c>
      <c r="H21" s="345"/>
      <c r="I21" s="73">
        <f>SUM(I15:I20)</f>
        <v>180000000</v>
      </c>
      <c r="J21" s="73">
        <f>SUM(J15:J20)</f>
        <v>62001839</v>
      </c>
      <c r="K21" s="73">
        <f>SUM(K15:K20)</f>
        <v>117998161</v>
      </c>
    </row>
    <row r="22" spans="1:11" ht="12.75" customHeight="1" x14ac:dyDescent="0.25">
      <c r="A22" s="3"/>
      <c r="B22" s="3"/>
      <c r="C22" s="3"/>
      <c r="D22" s="3"/>
      <c r="E22" s="144"/>
      <c r="F22" s="3"/>
      <c r="G22" s="3"/>
      <c r="H22" s="3"/>
      <c r="I22" s="22"/>
      <c r="J22" s="32"/>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91">
        <v>200000000</v>
      </c>
      <c r="B24" s="291"/>
      <c r="C24" s="291">
        <v>0</v>
      </c>
      <c r="D24" s="287">
        <f>+A24+B24-C24</f>
        <v>200000000</v>
      </c>
      <c r="E24" s="287">
        <f>+I21</f>
        <v>180000000</v>
      </c>
      <c r="F24" s="288">
        <f>+E24/D24</f>
        <v>0.9</v>
      </c>
      <c r="G24" s="287">
        <f>+I10</f>
        <v>0</v>
      </c>
      <c r="H24" s="287">
        <f>+D24-E24-G24</f>
        <v>20000000</v>
      </c>
      <c r="I24" s="287">
        <f>+J21</f>
        <v>62001839</v>
      </c>
      <c r="J24" s="293">
        <f>+I24/D24</f>
        <v>0.31000919500000002</v>
      </c>
      <c r="K24" s="287">
        <f>+K21</f>
        <v>117998161</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G21:H21"/>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0"/>
  <sheetViews>
    <sheetView workbookViewId="0">
      <selection activeCell="A20" sqref="A20:XFD2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115</v>
      </c>
      <c r="B3" s="278" t="s">
        <v>54</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30"/>
      <c r="B7" s="58"/>
      <c r="C7" s="61"/>
      <c r="D7" s="45"/>
      <c r="E7" s="218"/>
      <c r="F7" s="40"/>
      <c r="G7" s="41"/>
      <c r="H7" s="42"/>
      <c r="I7" s="67"/>
      <c r="J7" s="37"/>
      <c r="K7" s="38"/>
    </row>
    <row r="8" spans="1:11" ht="12.75" customHeight="1" x14ac:dyDescent="0.25">
      <c r="A8" s="43">
        <v>43354</v>
      </c>
      <c r="B8" s="60" t="s">
        <v>235</v>
      </c>
      <c r="C8" s="74"/>
      <c r="D8" s="45">
        <v>1181</v>
      </c>
      <c r="E8" s="310" t="s">
        <v>711</v>
      </c>
      <c r="F8" s="32"/>
      <c r="G8" s="46"/>
      <c r="H8" s="47"/>
      <c r="I8" s="67">
        <v>40000000</v>
      </c>
      <c r="J8" s="39"/>
      <c r="K8" s="44"/>
    </row>
    <row r="9" spans="1:11" ht="12.75" customHeight="1" x14ac:dyDescent="0.25">
      <c r="A9" s="43">
        <v>43389</v>
      </c>
      <c r="B9" s="60" t="s">
        <v>235</v>
      </c>
      <c r="C9" s="74"/>
      <c r="D9" s="45">
        <v>1443</v>
      </c>
      <c r="E9" s="310" t="s">
        <v>803</v>
      </c>
      <c r="F9" s="32"/>
      <c r="G9" s="46"/>
      <c r="H9" s="47"/>
      <c r="I9" s="67">
        <v>134750000</v>
      </c>
      <c r="J9" s="39"/>
      <c r="K9" s="44"/>
    </row>
    <row r="10" spans="1:11" ht="12.75" customHeight="1" x14ac:dyDescent="0.25">
      <c r="A10" s="43">
        <v>43395</v>
      </c>
      <c r="B10" s="60" t="s">
        <v>235</v>
      </c>
      <c r="C10" s="74"/>
      <c r="D10" s="45">
        <v>1454</v>
      </c>
      <c r="E10" s="310" t="s">
        <v>804</v>
      </c>
      <c r="F10" s="32"/>
      <c r="G10" s="46"/>
      <c r="H10" s="47"/>
      <c r="I10" s="67">
        <v>7000000</v>
      </c>
      <c r="J10" s="39"/>
      <c r="K10" s="44"/>
    </row>
    <row r="11" spans="1:11" ht="12.75" customHeight="1" x14ac:dyDescent="0.25">
      <c r="A11" s="43">
        <v>43397</v>
      </c>
      <c r="B11" s="60" t="s">
        <v>235</v>
      </c>
      <c r="C11" s="74"/>
      <c r="D11" s="45">
        <v>1458</v>
      </c>
      <c r="E11" s="310" t="s">
        <v>805</v>
      </c>
      <c r="F11" s="32"/>
      <c r="G11" s="46"/>
      <c r="H11" s="47"/>
      <c r="I11" s="67">
        <v>50000000</v>
      </c>
      <c r="J11" s="39"/>
      <c r="K11" s="44"/>
    </row>
    <row r="12" spans="1:11" ht="12.75" customHeight="1" x14ac:dyDescent="0.25">
      <c r="A12" s="43"/>
      <c r="B12" s="60"/>
      <c r="C12" s="74"/>
      <c r="D12" s="45"/>
      <c r="E12" s="310"/>
      <c r="F12" s="32"/>
      <c r="G12" s="46"/>
      <c r="H12" s="47"/>
      <c r="I12" s="67"/>
      <c r="J12" s="39"/>
      <c r="K12" s="44"/>
    </row>
    <row r="13" spans="1:11" ht="12.75" customHeight="1" x14ac:dyDescent="0.25">
      <c r="A13" s="43"/>
      <c r="B13" s="60"/>
      <c r="C13" s="74"/>
      <c r="D13" s="45"/>
      <c r="E13" s="310"/>
      <c r="F13" s="32"/>
      <c r="G13" s="46"/>
      <c r="H13" s="47"/>
      <c r="I13" s="67"/>
      <c r="J13" s="39"/>
      <c r="K13" s="44"/>
    </row>
    <row r="14" spans="1:11" ht="12.75" customHeight="1" x14ac:dyDescent="0.25">
      <c r="A14" s="43"/>
      <c r="B14" s="48"/>
      <c r="C14" s="46"/>
      <c r="D14" s="39"/>
      <c r="E14" s="48"/>
      <c r="F14" s="32"/>
      <c r="G14" s="46"/>
      <c r="H14" s="47"/>
      <c r="I14" s="68"/>
      <c r="J14" s="39"/>
      <c r="K14" s="44"/>
    </row>
    <row r="15" spans="1:11" x14ac:dyDescent="0.25">
      <c r="A15" s="50"/>
      <c r="B15" s="51"/>
      <c r="C15" s="51"/>
      <c r="D15" s="51"/>
      <c r="E15" s="51"/>
      <c r="F15" s="51"/>
      <c r="G15" s="344" t="s">
        <v>131</v>
      </c>
      <c r="H15" s="345"/>
      <c r="I15" s="69">
        <f>SUM(I7:I14)</f>
        <v>231750000</v>
      </c>
      <c r="J15" s="52"/>
      <c r="K15" s="53"/>
    </row>
    <row r="16" spans="1:11" ht="12.75" customHeight="1" x14ac:dyDescent="0.25">
      <c r="A16" s="3"/>
      <c r="B16" s="3"/>
      <c r="C16" s="3"/>
      <c r="D16" s="3"/>
      <c r="E16" s="3"/>
      <c r="F16" s="3"/>
      <c r="G16" s="3"/>
      <c r="H16" s="3"/>
      <c r="I16" s="3"/>
      <c r="J16" s="32"/>
      <c r="K16" s="44"/>
    </row>
    <row r="17" spans="1:11" x14ac:dyDescent="0.25">
      <c r="A17" s="346" t="s">
        <v>28</v>
      </c>
      <c r="B17" s="30" t="s">
        <v>38</v>
      </c>
      <c r="C17" s="55" t="s">
        <v>34</v>
      </c>
      <c r="D17" s="54" t="s">
        <v>34</v>
      </c>
      <c r="E17" s="350" t="s">
        <v>40</v>
      </c>
      <c r="F17" s="351"/>
      <c r="G17" s="351"/>
      <c r="H17" s="352"/>
      <c r="I17" s="346" t="s">
        <v>31</v>
      </c>
      <c r="J17" s="346" t="s">
        <v>29</v>
      </c>
      <c r="K17" s="55" t="s">
        <v>56</v>
      </c>
    </row>
    <row r="18" spans="1:11" x14ac:dyDescent="0.25">
      <c r="A18" s="347"/>
      <c r="B18" s="56" t="s">
        <v>39</v>
      </c>
      <c r="C18" s="56" t="s">
        <v>36</v>
      </c>
      <c r="D18" s="56" t="s">
        <v>35</v>
      </c>
      <c r="E18" s="350" t="s">
        <v>33</v>
      </c>
      <c r="F18" s="352"/>
      <c r="G18" s="350" t="s">
        <v>32</v>
      </c>
      <c r="H18" s="352"/>
      <c r="I18" s="347"/>
      <c r="J18" s="347"/>
      <c r="K18" s="56" t="s">
        <v>57</v>
      </c>
    </row>
    <row r="19" spans="1:11" ht="12.75" customHeight="1" x14ac:dyDescent="0.25">
      <c r="A19" s="36"/>
      <c r="B19" s="36"/>
      <c r="C19" s="36"/>
      <c r="D19" s="36"/>
      <c r="E19" s="39"/>
      <c r="F19" s="44"/>
      <c r="G19" s="37"/>
      <c r="H19" s="44"/>
      <c r="I19" s="57"/>
      <c r="J19" s="57"/>
      <c r="K19" s="57"/>
    </row>
    <row r="20" spans="1:11" hidden="1" x14ac:dyDescent="0.25">
      <c r="A20" s="43">
        <v>43231</v>
      </c>
      <c r="B20" s="58" t="s">
        <v>457</v>
      </c>
      <c r="C20" s="59">
        <v>733</v>
      </c>
      <c r="D20" s="59">
        <v>825</v>
      </c>
      <c r="E20" s="39" t="s">
        <v>335</v>
      </c>
      <c r="F20" s="61"/>
      <c r="G20" s="254" t="s">
        <v>458</v>
      </c>
      <c r="H20" s="44"/>
      <c r="I20" s="70">
        <v>90000000</v>
      </c>
      <c r="J20" s="70">
        <v>90000000</v>
      </c>
      <c r="K20" s="70">
        <f t="shared" ref="K20:K24" si="0">+I20-J20</f>
        <v>0</v>
      </c>
    </row>
    <row r="21" spans="1:11" hidden="1" x14ac:dyDescent="0.25">
      <c r="A21" s="43">
        <v>43265</v>
      </c>
      <c r="B21" s="58" t="s">
        <v>510</v>
      </c>
      <c r="C21" s="59">
        <v>776</v>
      </c>
      <c r="D21" s="59">
        <v>872</v>
      </c>
      <c r="E21" s="39" t="s">
        <v>449</v>
      </c>
      <c r="F21" s="61"/>
      <c r="G21" s="39" t="s">
        <v>511</v>
      </c>
      <c r="H21" s="44"/>
      <c r="I21" s="140">
        <v>3088458</v>
      </c>
      <c r="J21" s="140">
        <v>3088458</v>
      </c>
      <c r="K21" s="70">
        <f t="shared" si="0"/>
        <v>0</v>
      </c>
    </row>
    <row r="22" spans="1:11" x14ac:dyDescent="0.25">
      <c r="A22" s="43">
        <v>43273</v>
      </c>
      <c r="B22" s="58" t="s">
        <v>527</v>
      </c>
      <c r="C22" s="59">
        <v>795</v>
      </c>
      <c r="D22" s="59">
        <v>891</v>
      </c>
      <c r="E22" s="39" t="s">
        <v>528</v>
      </c>
      <c r="F22" s="61"/>
      <c r="G22" s="39" t="s">
        <v>529</v>
      </c>
      <c r="H22" s="44"/>
      <c r="I22" s="70">
        <v>15000000</v>
      </c>
      <c r="J22" s="70">
        <v>4250000</v>
      </c>
      <c r="K22" s="70">
        <f t="shared" si="0"/>
        <v>10750000</v>
      </c>
    </row>
    <row r="23" spans="1:11" x14ac:dyDescent="0.25">
      <c r="A23" s="43">
        <v>43321</v>
      </c>
      <c r="B23" s="58" t="s">
        <v>624</v>
      </c>
      <c r="C23" s="59">
        <v>822</v>
      </c>
      <c r="D23" s="59">
        <v>982</v>
      </c>
      <c r="E23" s="39" t="s">
        <v>530</v>
      </c>
      <c r="F23" s="61"/>
      <c r="G23" s="39" t="s">
        <v>625</v>
      </c>
      <c r="H23" s="44"/>
      <c r="I23" s="70">
        <v>72410000</v>
      </c>
      <c r="J23" s="70">
        <v>46276839</v>
      </c>
      <c r="K23" s="70">
        <f t="shared" si="0"/>
        <v>26133161</v>
      </c>
    </row>
    <row r="24" spans="1:11" x14ac:dyDescent="0.25">
      <c r="A24" s="43">
        <v>43371</v>
      </c>
      <c r="B24" s="58" t="s">
        <v>457</v>
      </c>
      <c r="C24" s="59">
        <v>1353</v>
      </c>
      <c r="D24" s="59">
        <v>1504</v>
      </c>
      <c r="E24" s="39" t="s">
        <v>748</v>
      </c>
      <c r="F24" s="61"/>
      <c r="G24" s="39" t="s">
        <v>749</v>
      </c>
      <c r="H24" s="44"/>
      <c r="I24" s="70">
        <v>45000000</v>
      </c>
      <c r="J24" s="70">
        <v>18505000</v>
      </c>
      <c r="K24" s="70">
        <f t="shared" si="0"/>
        <v>26495000</v>
      </c>
    </row>
    <row r="25" spans="1:11" ht="12.75" customHeight="1" x14ac:dyDescent="0.25">
      <c r="A25" s="43"/>
      <c r="B25" s="58"/>
      <c r="C25" s="36"/>
      <c r="D25" s="36"/>
      <c r="E25" s="39"/>
      <c r="F25" s="44"/>
      <c r="G25" s="39"/>
      <c r="H25" s="44"/>
      <c r="I25" s="83"/>
      <c r="J25" s="83"/>
      <c r="K25" s="83"/>
    </row>
    <row r="26" spans="1:11" x14ac:dyDescent="0.25">
      <c r="A26" s="50"/>
      <c r="B26" s="51"/>
      <c r="C26" s="51"/>
      <c r="D26" s="51"/>
      <c r="E26" s="51"/>
      <c r="F26" s="51"/>
      <c r="G26" s="344" t="s">
        <v>131</v>
      </c>
      <c r="H26" s="345"/>
      <c r="I26" s="73">
        <f>SUM(I20:I25)</f>
        <v>225498458</v>
      </c>
      <c r="J26" s="73">
        <f>SUM(J20:J25)</f>
        <v>162120297</v>
      </c>
      <c r="K26" s="73">
        <f>SUM(K20:K25)</f>
        <v>63378161</v>
      </c>
    </row>
    <row r="27" spans="1:11" ht="12.75" customHeight="1" x14ac:dyDescent="0.25">
      <c r="A27" s="3"/>
      <c r="B27" s="3"/>
      <c r="C27" s="3"/>
      <c r="D27" s="3"/>
      <c r="E27" s="3"/>
      <c r="F27" s="3"/>
      <c r="G27" s="3"/>
      <c r="H27" s="3"/>
      <c r="I27" s="22"/>
      <c r="J27" s="32"/>
      <c r="K27" s="51"/>
    </row>
    <row r="28" spans="1:11" ht="24.95" customHeight="1" x14ac:dyDescent="0.25">
      <c r="A28" s="284" t="s">
        <v>58</v>
      </c>
      <c r="B28" s="284" t="s">
        <v>132</v>
      </c>
      <c r="C28" s="284" t="s">
        <v>30</v>
      </c>
      <c r="D28" s="285" t="s">
        <v>59</v>
      </c>
      <c r="E28" s="284" t="s">
        <v>40</v>
      </c>
      <c r="F28" s="284" t="s">
        <v>62</v>
      </c>
      <c r="G28" s="284" t="s">
        <v>37</v>
      </c>
      <c r="H28" s="284" t="s">
        <v>60</v>
      </c>
      <c r="I28" s="284" t="s">
        <v>61</v>
      </c>
      <c r="J28" s="284" t="s">
        <v>98</v>
      </c>
      <c r="K28" s="284" t="s">
        <v>68</v>
      </c>
    </row>
    <row r="29" spans="1:11" ht="24.95" customHeight="1" x14ac:dyDescent="0.25">
      <c r="A29" s="291">
        <v>300000000</v>
      </c>
      <c r="B29" s="291">
        <v>157750000</v>
      </c>
      <c r="C29" s="291">
        <v>0</v>
      </c>
      <c r="D29" s="287">
        <f>+A29+B29-C29</f>
        <v>457750000</v>
      </c>
      <c r="E29" s="287">
        <f>+I26</f>
        <v>225498458</v>
      </c>
      <c r="F29" s="288">
        <f>+E29/D29</f>
        <v>0.49262361114145276</v>
      </c>
      <c r="G29" s="287">
        <f>+I15</f>
        <v>231750000</v>
      </c>
      <c r="H29" s="287">
        <f>+D29-E29-G29</f>
        <v>501542</v>
      </c>
      <c r="I29" s="287">
        <f>+J26</f>
        <v>162120297</v>
      </c>
      <c r="J29" s="293">
        <f>+I29/D29</f>
        <v>0.3541677706171491</v>
      </c>
      <c r="K29" s="287">
        <f>+K26</f>
        <v>63378161</v>
      </c>
    </row>
    <row r="30" spans="1:11" x14ac:dyDescent="0.25">
      <c r="A30" s="290">
        <v>1</v>
      </c>
      <c r="B30" s="290">
        <v>2</v>
      </c>
      <c r="C30" s="290">
        <v>3</v>
      </c>
      <c r="D30" s="290" t="s">
        <v>42</v>
      </c>
      <c r="E30" s="290">
        <v>5</v>
      </c>
      <c r="F30" s="290" t="s">
        <v>69</v>
      </c>
      <c r="G30" s="290">
        <v>7</v>
      </c>
      <c r="H30" s="290" t="s">
        <v>70</v>
      </c>
      <c r="I30" s="290">
        <v>9</v>
      </c>
      <c r="J30" s="290" t="s">
        <v>99</v>
      </c>
      <c r="K30" s="290" t="s">
        <v>100</v>
      </c>
    </row>
  </sheetData>
  <mergeCells count="15">
    <mergeCell ref="G26:H26"/>
    <mergeCell ref="J5:K6"/>
    <mergeCell ref="E6:H6"/>
    <mergeCell ref="G15:H15"/>
    <mergeCell ref="A17:A18"/>
    <mergeCell ref="E17:H17"/>
    <mergeCell ref="I17:I18"/>
    <mergeCell ref="J17:J18"/>
    <mergeCell ref="E18:F18"/>
    <mergeCell ref="G18:H18"/>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4"/>
  <sheetViews>
    <sheetView zoomScaleNormal="100"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2" ht="12.75" customHeight="1" x14ac:dyDescent="0.25">
      <c r="A1" s="2" t="s">
        <v>97</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275" t="s">
        <v>116</v>
      </c>
      <c r="B3" s="278" t="s">
        <v>117</v>
      </c>
      <c r="C3" s="275"/>
      <c r="D3" s="275"/>
      <c r="E3" s="276"/>
      <c r="F3" s="276"/>
      <c r="G3" s="276"/>
      <c r="H3" s="276"/>
      <c r="I3" s="276"/>
      <c r="J3" s="276"/>
      <c r="K3" s="277" t="s">
        <v>825</v>
      </c>
    </row>
    <row r="4" spans="1:12" ht="15" customHeight="1" x14ac:dyDescent="0.25">
      <c r="A4" s="162"/>
      <c r="B4" s="163"/>
      <c r="C4" s="162"/>
      <c r="D4" s="162"/>
      <c r="E4" s="164"/>
      <c r="F4" s="164"/>
      <c r="G4" s="164"/>
      <c r="H4" s="164"/>
      <c r="I4" s="164"/>
      <c r="J4" s="164"/>
      <c r="K4" s="165"/>
    </row>
    <row r="5" spans="1:12" x14ac:dyDescent="0.25">
      <c r="A5" s="346" t="s">
        <v>28</v>
      </c>
      <c r="B5" s="348" t="s">
        <v>130</v>
      </c>
      <c r="C5" s="34"/>
      <c r="D5" s="346" t="s">
        <v>71</v>
      </c>
      <c r="E5" s="350" t="s">
        <v>37</v>
      </c>
      <c r="F5" s="351"/>
      <c r="G5" s="351"/>
      <c r="H5" s="352"/>
      <c r="I5" s="346" t="s">
        <v>31</v>
      </c>
      <c r="J5" s="353" t="s">
        <v>41</v>
      </c>
      <c r="K5" s="354"/>
    </row>
    <row r="6" spans="1:12" x14ac:dyDescent="0.25">
      <c r="A6" s="347"/>
      <c r="B6" s="357"/>
      <c r="C6" s="35"/>
      <c r="D6" s="347"/>
      <c r="E6" s="350" t="s">
        <v>33</v>
      </c>
      <c r="F6" s="351"/>
      <c r="G6" s="351"/>
      <c r="H6" s="352"/>
      <c r="I6" s="347"/>
      <c r="J6" s="355"/>
      <c r="K6" s="356"/>
    </row>
    <row r="7" spans="1:12" ht="15" customHeight="1" x14ac:dyDescent="0.25">
      <c r="A7" s="43"/>
      <c r="B7" s="39"/>
      <c r="C7" s="44"/>
      <c r="D7" s="45"/>
      <c r="E7" s="315"/>
      <c r="F7" s="32"/>
      <c r="G7" s="46"/>
      <c r="H7" s="47"/>
      <c r="I7" s="95"/>
      <c r="J7" s="39"/>
      <c r="K7" s="157"/>
    </row>
    <row r="8" spans="1:12" ht="15" customHeight="1" x14ac:dyDescent="0.25">
      <c r="A8" s="43">
        <v>43172</v>
      </c>
      <c r="B8" s="39" t="s">
        <v>172</v>
      </c>
      <c r="C8" s="44"/>
      <c r="D8" s="45">
        <v>741</v>
      </c>
      <c r="E8" s="255" t="s">
        <v>342</v>
      </c>
      <c r="F8" s="32"/>
      <c r="G8" s="46"/>
      <c r="H8" s="47"/>
      <c r="I8" s="95">
        <v>4000000</v>
      </c>
      <c r="J8" s="39"/>
      <c r="K8" s="157"/>
    </row>
    <row r="9" spans="1:12" ht="12.75" customHeight="1" x14ac:dyDescent="0.25">
      <c r="A9" s="64"/>
      <c r="B9" s="48"/>
      <c r="C9" s="49"/>
      <c r="D9" s="48"/>
      <c r="E9" s="52"/>
      <c r="F9" s="33"/>
      <c r="G9" s="137"/>
      <c r="H9" s="53"/>
      <c r="I9" s="83"/>
      <c r="J9" s="48"/>
      <c r="K9" s="133"/>
    </row>
    <row r="10" spans="1:12" x14ac:dyDescent="0.25">
      <c r="A10" s="48"/>
      <c r="B10" s="33"/>
      <c r="C10" s="33"/>
      <c r="D10" s="33"/>
      <c r="E10" s="33"/>
      <c r="F10" s="33"/>
      <c r="G10" s="344" t="s">
        <v>131</v>
      </c>
      <c r="H10" s="345"/>
      <c r="I10" s="128">
        <f>SUM(I7:I9)</f>
        <v>4000000</v>
      </c>
      <c r="J10" s="52"/>
      <c r="K10" s="53"/>
    </row>
    <row r="11" spans="1:12" ht="12.75" customHeight="1" x14ac:dyDescent="0.25">
      <c r="A11" s="3"/>
      <c r="B11" s="3"/>
      <c r="C11" s="3"/>
      <c r="D11" s="3"/>
      <c r="E11" s="3"/>
      <c r="F11" s="3"/>
      <c r="G11" s="3"/>
      <c r="H11" s="3"/>
      <c r="I11" s="144"/>
      <c r="J11" s="32"/>
      <c r="K11" s="44"/>
    </row>
    <row r="12" spans="1:12" x14ac:dyDescent="0.25">
      <c r="A12" s="346" t="s">
        <v>28</v>
      </c>
      <c r="B12" s="30" t="s">
        <v>38</v>
      </c>
      <c r="C12" s="55" t="s">
        <v>34</v>
      </c>
      <c r="D12" s="54" t="s">
        <v>34</v>
      </c>
      <c r="E12" s="350" t="s">
        <v>40</v>
      </c>
      <c r="F12" s="351"/>
      <c r="G12" s="351"/>
      <c r="H12" s="352"/>
      <c r="I12" s="346" t="s">
        <v>31</v>
      </c>
      <c r="J12" s="346" t="s">
        <v>29</v>
      </c>
      <c r="K12" s="55" t="s">
        <v>56</v>
      </c>
    </row>
    <row r="13" spans="1:12" x14ac:dyDescent="0.25">
      <c r="A13" s="347"/>
      <c r="B13" s="56" t="s">
        <v>39</v>
      </c>
      <c r="C13" s="56" t="s">
        <v>36</v>
      </c>
      <c r="D13" s="56" t="s">
        <v>35</v>
      </c>
      <c r="E13" s="350" t="s">
        <v>33</v>
      </c>
      <c r="F13" s="352"/>
      <c r="G13" s="350" t="s">
        <v>32</v>
      </c>
      <c r="H13" s="352"/>
      <c r="I13" s="347"/>
      <c r="J13" s="347"/>
      <c r="K13" s="56" t="s">
        <v>57</v>
      </c>
    </row>
    <row r="14" spans="1:12" ht="12.75" customHeight="1" x14ac:dyDescent="0.25">
      <c r="A14" s="36"/>
      <c r="B14" s="36"/>
      <c r="C14" s="36"/>
      <c r="D14" s="36"/>
      <c r="E14" s="39"/>
      <c r="F14" s="44"/>
      <c r="G14" s="39"/>
      <c r="H14" s="38"/>
      <c r="I14" s="57"/>
      <c r="J14" s="57"/>
      <c r="K14" s="57"/>
    </row>
    <row r="15" spans="1:12" x14ac:dyDescent="0.25">
      <c r="A15" s="43">
        <v>43194</v>
      </c>
      <c r="B15" s="32" t="s">
        <v>388</v>
      </c>
      <c r="C15" s="59">
        <v>730</v>
      </c>
      <c r="D15" s="59">
        <v>778</v>
      </c>
      <c r="E15" s="39" t="s">
        <v>389</v>
      </c>
      <c r="F15" s="32"/>
      <c r="G15" s="39" t="s">
        <v>390</v>
      </c>
      <c r="H15" s="143"/>
      <c r="I15" s="95">
        <v>43012004</v>
      </c>
      <c r="J15" s="95">
        <v>43012004</v>
      </c>
      <c r="K15" s="70">
        <f t="shared" ref="K15:K18" si="0">+I15-J15</f>
        <v>0</v>
      </c>
      <c r="L15"/>
    </row>
    <row r="16" spans="1:12" x14ac:dyDescent="0.25">
      <c r="A16" s="96">
        <v>43341</v>
      </c>
      <c r="B16" s="58" t="s">
        <v>687</v>
      </c>
      <c r="C16" s="59">
        <v>896</v>
      </c>
      <c r="D16" s="59">
        <v>1031</v>
      </c>
      <c r="E16" s="142" t="s">
        <v>688</v>
      </c>
      <c r="F16" s="61"/>
      <c r="G16" s="142" t="s">
        <v>689</v>
      </c>
      <c r="H16" s="61"/>
      <c r="I16" s="67">
        <v>453803236</v>
      </c>
      <c r="J16" s="67">
        <v>453803236</v>
      </c>
      <c r="K16" s="70">
        <f t="shared" si="0"/>
        <v>0</v>
      </c>
    </row>
    <row r="17" spans="1:11" x14ac:dyDescent="0.25">
      <c r="A17" s="96"/>
      <c r="B17" s="58"/>
      <c r="C17" s="59"/>
      <c r="D17" s="59"/>
      <c r="E17" s="244"/>
      <c r="F17" s="61"/>
      <c r="G17" s="142"/>
      <c r="H17" s="61"/>
      <c r="I17" s="67"/>
      <c r="J17" s="67"/>
      <c r="K17" s="70">
        <f t="shared" si="0"/>
        <v>0</v>
      </c>
    </row>
    <row r="18" spans="1:11" x14ac:dyDescent="0.25">
      <c r="A18" s="96"/>
      <c r="B18" s="58"/>
      <c r="C18" s="59"/>
      <c r="D18" s="59"/>
      <c r="E18" s="244"/>
      <c r="F18" s="61"/>
      <c r="G18"/>
      <c r="H18" s="61"/>
      <c r="I18" s="67"/>
      <c r="J18" s="67"/>
      <c r="K18" s="70">
        <f t="shared" si="0"/>
        <v>0</v>
      </c>
    </row>
    <row r="19" spans="1:11" ht="12.75" customHeight="1" x14ac:dyDescent="0.25">
      <c r="A19" s="43"/>
      <c r="B19" s="58"/>
      <c r="C19" s="36"/>
      <c r="D19" s="36"/>
      <c r="E19" s="39"/>
      <c r="F19" s="44"/>
      <c r="G19" s="39"/>
      <c r="H19" s="44"/>
      <c r="I19" s="83" t="s">
        <v>129</v>
      </c>
      <c r="J19" s="83"/>
      <c r="K19" s="83"/>
    </row>
    <row r="20" spans="1:11" x14ac:dyDescent="0.25">
      <c r="A20" s="50"/>
      <c r="B20" s="51"/>
      <c r="C20" s="51"/>
      <c r="D20" s="51"/>
      <c r="E20" s="51"/>
      <c r="F20" s="51"/>
      <c r="G20" s="344" t="s">
        <v>131</v>
      </c>
      <c r="H20" s="345"/>
      <c r="I20" s="73">
        <f>SUM(I15:I19)</f>
        <v>496815240</v>
      </c>
      <c r="J20" s="73">
        <f>SUM(J15:J19)</f>
        <v>496815240</v>
      </c>
      <c r="K20" s="73">
        <f>SUM(K15:K19)</f>
        <v>0</v>
      </c>
    </row>
    <row r="21" spans="1:11" ht="12.75" customHeight="1" x14ac:dyDescent="0.25">
      <c r="A21" s="51"/>
      <c r="B21" s="51"/>
      <c r="C21" s="51"/>
      <c r="D21" s="51"/>
      <c r="E21" s="51"/>
      <c r="F21" s="51"/>
      <c r="G21" s="108"/>
      <c r="H21" s="108"/>
      <c r="I21" s="145"/>
      <c r="J21" s="145"/>
      <c r="K21" s="145"/>
    </row>
    <row r="22" spans="1:11" ht="24.95" customHeight="1" x14ac:dyDescent="0.25">
      <c r="A22" s="284" t="s">
        <v>58</v>
      </c>
      <c r="B22" s="284" t="s">
        <v>132</v>
      </c>
      <c r="C22" s="284" t="s">
        <v>30</v>
      </c>
      <c r="D22" s="285" t="s">
        <v>59</v>
      </c>
      <c r="E22" s="284" t="s">
        <v>40</v>
      </c>
      <c r="F22" s="284" t="s">
        <v>62</v>
      </c>
      <c r="G22" s="284" t="s">
        <v>37</v>
      </c>
      <c r="H22" s="284" t="s">
        <v>60</v>
      </c>
      <c r="I22" s="284" t="s">
        <v>61</v>
      </c>
      <c r="J22" s="284" t="s">
        <v>98</v>
      </c>
      <c r="K22" s="284" t="s">
        <v>68</v>
      </c>
    </row>
    <row r="23" spans="1:11" ht="24.95" customHeight="1" x14ac:dyDescent="0.25">
      <c r="A23" s="291">
        <v>206000000</v>
      </c>
      <c r="B23" s="291">
        <v>486328236</v>
      </c>
      <c r="C23" s="291">
        <v>0</v>
      </c>
      <c r="D23" s="287">
        <f>+A23+B23-C23</f>
        <v>692328236</v>
      </c>
      <c r="E23" s="287">
        <f>+I20</f>
        <v>496815240</v>
      </c>
      <c r="F23" s="288">
        <f>+E23/D23</f>
        <v>0.71760071909012824</v>
      </c>
      <c r="G23" s="287">
        <f>+I10</f>
        <v>4000000</v>
      </c>
      <c r="H23" s="287">
        <f>+D23-E23-G23</f>
        <v>191512996</v>
      </c>
      <c r="I23" s="287">
        <f>+J20</f>
        <v>496815240</v>
      </c>
      <c r="J23" s="293">
        <f>+I23/D23</f>
        <v>0.71760071909012824</v>
      </c>
      <c r="K23" s="287">
        <f>+K20</f>
        <v>0</v>
      </c>
    </row>
    <row r="24" spans="1:11" x14ac:dyDescent="0.25">
      <c r="A24" s="290">
        <v>1</v>
      </c>
      <c r="B24" s="290">
        <v>2</v>
      </c>
      <c r="C24" s="290">
        <v>3</v>
      </c>
      <c r="D24" s="290" t="s">
        <v>42</v>
      </c>
      <c r="E24" s="290">
        <v>5</v>
      </c>
      <c r="F24" s="290" t="s">
        <v>69</v>
      </c>
      <c r="G24" s="290">
        <v>7</v>
      </c>
      <c r="H24" s="290" t="s">
        <v>70</v>
      </c>
      <c r="I24" s="290">
        <v>9</v>
      </c>
      <c r="J24" s="290" t="s">
        <v>99</v>
      </c>
      <c r="K24" s="290" t="s">
        <v>100</v>
      </c>
    </row>
  </sheetData>
  <mergeCells count="15">
    <mergeCell ref="G20:H20"/>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N35"/>
  <sheetViews>
    <sheetView zoomScaleNormal="100" workbookViewId="0">
      <selection activeCell="O28" sqref="O28"/>
    </sheetView>
  </sheetViews>
  <sheetFormatPr baseColWidth="10" defaultRowHeight="15" x14ac:dyDescent="0.25"/>
  <cols>
    <col min="1" max="2" width="15.7109375" style="31" customWidth="1"/>
    <col min="3" max="3" width="14.7109375" style="31" customWidth="1"/>
    <col min="4" max="11" width="15.7109375" style="31" customWidth="1"/>
    <col min="12" max="12" width="10.7109375" style="31" customWidth="1"/>
    <col min="13" max="16384" width="11.42578125" style="31"/>
  </cols>
  <sheetData>
    <row r="1" spans="1:14" ht="12.75" customHeight="1" x14ac:dyDescent="0.25">
      <c r="A1" s="2" t="s">
        <v>97</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275" t="s">
        <v>101</v>
      </c>
      <c r="B3" s="278" t="s">
        <v>46</v>
      </c>
      <c r="C3" s="275"/>
      <c r="D3" s="275"/>
      <c r="E3" s="276"/>
      <c r="F3" s="276"/>
      <c r="G3" s="276"/>
      <c r="H3" s="276"/>
      <c r="I3" s="276"/>
      <c r="J3" s="277"/>
      <c r="K3" s="277" t="s">
        <v>825</v>
      </c>
    </row>
    <row r="4" spans="1:14" ht="12.75" customHeight="1" x14ac:dyDescent="0.25">
      <c r="A4" s="3"/>
      <c r="B4" s="3"/>
      <c r="C4" s="3"/>
      <c r="D4" s="3"/>
      <c r="E4" s="3"/>
      <c r="F4" s="3"/>
      <c r="G4" s="3"/>
      <c r="H4" s="3"/>
      <c r="I4" s="3"/>
      <c r="J4" s="32"/>
      <c r="K4" s="33"/>
    </row>
    <row r="5" spans="1:14" x14ac:dyDescent="0.25">
      <c r="A5" s="346" t="s">
        <v>28</v>
      </c>
      <c r="B5" s="348" t="s">
        <v>130</v>
      </c>
      <c r="C5" s="354"/>
      <c r="D5" s="346" t="s">
        <v>71</v>
      </c>
      <c r="E5" s="350" t="s">
        <v>37</v>
      </c>
      <c r="F5" s="351"/>
      <c r="G5" s="351"/>
      <c r="H5" s="352"/>
      <c r="I5" s="346" t="s">
        <v>31</v>
      </c>
      <c r="J5" s="353" t="s">
        <v>41</v>
      </c>
      <c r="K5" s="354"/>
    </row>
    <row r="6" spans="1:14" x14ac:dyDescent="0.25">
      <c r="A6" s="347"/>
      <c r="B6" s="357"/>
      <c r="C6" s="356"/>
      <c r="D6" s="347"/>
      <c r="E6" s="350" t="s">
        <v>33</v>
      </c>
      <c r="F6" s="351"/>
      <c r="G6" s="351"/>
      <c r="H6" s="352"/>
      <c r="I6" s="347"/>
      <c r="J6" s="355"/>
      <c r="K6" s="356"/>
    </row>
    <row r="7" spans="1:14" x14ac:dyDescent="0.25">
      <c r="A7" s="43">
        <v>43172</v>
      </c>
      <c r="B7" s="132" t="s">
        <v>172</v>
      </c>
      <c r="C7" s="32"/>
      <c r="D7" s="59">
        <v>741</v>
      </c>
      <c r="E7" s="244" t="s">
        <v>342</v>
      </c>
      <c r="F7" s="32"/>
      <c r="G7" s="46"/>
      <c r="H7" s="47"/>
      <c r="I7" s="313">
        <f>2997000-280000-300000</f>
        <v>2417000</v>
      </c>
      <c r="J7" s="39" t="s">
        <v>178</v>
      </c>
      <c r="K7" s="75"/>
    </row>
    <row r="8" spans="1:14" x14ac:dyDescent="0.25">
      <c r="A8" s="43">
        <v>43342</v>
      </c>
      <c r="B8" s="132" t="s">
        <v>177</v>
      </c>
      <c r="C8" s="32"/>
      <c r="D8" s="59">
        <v>901</v>
      </c>
      <c r="E8" s="244" t="s">
        <v>679</v>
      </c>
      <c r="F8" s="32"/>
      <c r="G8" s="46"/>
      <c r="H8" s="47"/>
      <c r="I8" s="313">
        <f>34263588-24151100</f>
        <v>10112488</v>
      </c>
      <c r="J8" s="39" t="s">
        <v>178</v>
      </c>
      <c r="K8" s="75"/>
    </row>
    <row r="9" spans="1:14" x14ac:dyDescent="0.25">
      <c r="A9" s="43">
        <v>43343</v>
      </c>
      <c r="B9" s="132" t="s">
        <v>177</v>
      </c>
      <c r="C9" s="32"/>
      <c r="D9" s="59">
        <v>909</v>
      </c>
      <c r="E9" s="334" t="s">
        <v>694</v>
      </c>
      <c r="F9" s="32"/>
      <c r="G9" s="46"/>
      <c r="H9" s="47"/>
      <c r="I9" s="313">
        <f>82678590-63963822</f>
        <v>18714768</v>
      </c>
      <c r="J9" s="39"/>
      <c r="K9" s="75"/>
    </row>
    <row r="10" spans="1:14" ht="12.75" customHeight="1" x14ac:dyDescent="0.25">
      <c r="A10" s="43"/>
      <c r="B10" s="60"/>
      <c r="C10" s="49"/>
      <c r="D10" s="97"/>
      <c r="E10" s="39"/>
      <c r="F10" s="32"/>
      <c r="G10" s="46"/>
      <c r="H10" s="47"/>
      <c r="I10" s="67"/>
      <c r="J10" s="39"/>
      <c r="K10" s="44"/>
    </row>
    <row r="11" spans="1:14" x14ac:dyDescent="0.25">
      <c r="A11" s="50"/>
      <c r="B11" s="51"/>
      <c r="C11" s="33"/>
      <c r="D11" s="51"/>
      <c r="E11" s="51"/>
      <c r="F11" s="51"/>
      <c r="G11" s="344" t="s">
        <v>131</v>
      </c>
      <c r="H11" s="345"/>
      <c r="I11" s="69">
        <f>SUM(I7:I10)</f>
        <v>31244256</v>
      </c>
      <c r="J11" s="52"/>
      <c r="K11" s="53"/>
    </row>
    <row r="12" spans="1:14" ht="12.75" customHeight="1" x14ac:dyDescent="0.25">
      <c r="A12" s="51"/>
      <c r="B12" s="51"/>
      <c r="C12" s="51"/>
      <c r="D12" s="51"/>
      <c r="E12" s="51"/>
      <c r="F12" s="51"/>
      <c r="G12" s="51"/>
      <c r="H12" s="51"/>
      <c r="I12" s="152"/>
      <c r="J12" s="155"/>
      <c r="K12" s="51"/>
    </row>
    <row r="13" spans="1:14" x14ac:dyDescent="0.25">
      <c r="A13" s="346" t="s">
        <v>28</v>
      </c>
      <c r="B13" s="30" t="s">
        <v>38</v>
      </c>
      <c r="C13" s="55" t="s">
        <v>34</v>
      </c>
      <c r="D13" s="54" t="s">
        <v>34</v>
      </c>
      <c r="E13" s="350" t="s">
        <v>40</v>
      </c>
      <c r="F13" s="351"/>
      <c r="G13" s="351"/>
      <c r="H13" s="352"/>
      <c r="I13" s="346" t="s">
        <v>31</v>
      </c>
      <c r="J13" s="346" t="s">
        <v>29</v>
      </c>
      <c r="K13" s="55" t="s">
        <v>56</v>
      </c>
      <c r="L13" s="31" t="s">
        <v>826</v>
      </c>
    </row>
    <row r="14" spans="1:14" x14ac:dyDescent="0.25">
      <c r="A14" s="347"/>
      <c r="B14" s="56" t="s">
        <v>39</v>
      </c>
      <c r="C14" s="56" t="s">
        <v>36</v>
      </c>
      <c r="D14" s="56" t="s">
        <v>35</v>
      </c>
      <c r="E14" s="350" t="s">
        <v>33</v>
      </c>
      <c r="F14" s="352"/>
      <c r="G14" s="350" t="s">
        <v>32</v>
      </c>
      <c r="H14" s="352"/>
      <c r="I14" s="347"/>
      <c r="J14" s="347"/>
      <c r="K14" s="56" t="s">
        <v>57</v>
      </c>
    </row>
    <row r="15" spans="1:14" ht="15" customHeight="1" x14ac:dyDescent="0.25">
      <c r="A15" s="43">
        <v>43124</v>
      </c>
      <c r="B15" s="298">
        <v>479</v>
      </c>
      <c r="C15" s="59">
        <v>483</v>
      </c>
      <c r="D15" s="59">
        <v>481</v>
      </c>
      <c r="E15" s="39" t="s">
        <v>204</v>
      </c>
      <c r="F15" s="61"/>
      <c r="G15" s="60" t="s">
        <v>206</v>
      </c>
      <c r="H15" s="61"/>
      <c r="I15" s="67">
        <v>618053721</v>
      </c>
      <c r="J15" s="70">
        <v>618053717</v>
      </c>
      <c r="K15" s="70">
        <f t="shared" ref="K15:K29" si="0">+I15-J15</f>
        <v>4</v>
      </c>
      <c r="N15" s="211"/>
    </row>
    <row r="16" spans="1:14" hidden="1" x14ac:dyDescent="0.25">
      <c r="A16" s="43">
        <v>43126</v>
      </c>
      <c r="B16" s="298">
        <v>577</v>
      </c>
      <c r="C16" s="59">
        <v>489</v>
      </c>
      <c r="D16" s="59">
        <v>528</v>
      </c>
      <c r="E16" s="60" t="s">
        <v>205</v>
      </c>
      <c r="F16" s="61"/>
      <c r="G16" s="244" t="s">
        <v>206</v>
      </c>
      <c r="H16" s="61"/>
      <c r="I16" s="67">
        <v>57048190</v>
      </c>
      <c r="J16" s="67">
        <v>57048190</v>
      </c>
      <c r="K16" s="70">
        <f t="shared" si="0"/>
        <v>0</v>
      </c>
      <c r="N16" s="211"/>
    </row>
    <row r="17" spans="1:14" hidden="1" x14ac:dyDescent="0.25">
      <c r="A17" s="43">
        <v>43138</v>
      </c>
      <c r="B17" s="58" t="s">
        <v>238</v>
      </c>
      <c r="C17" s="59">
        <v>708</v>
      </c>
      <c r="D17" s="59">
        <v>687</v>
      </c>
      <c r="E17" s="244" t="s">
        <v>239</v>
      </c>
      <c r="F17" s="61"/>
      <c r="G17" s="244" t="s">
        <v>240</v>
      </c>
      <c r="H17" s="61"/>
      <c r="I17" s="67">
        <v>7951173</v>
      </c>
      <c r="J17" s="67">
        <v>7951173</v>
      </c>
      <c r="K17" s="70">
        <f t="shared" si="0"/>
        <v>0</v>
      </c>
      <c r="N17" s="211"/>
    </row>
    <row r="18" spans="1:14" x14ac:dyDescent="0.25">
      <c r="A18" s="43">
        <v>43174</v>
      </c>
      <c r="B18" s="58" t="s">
        <v>353</v>
      </c>
      <c r="C18" s="59">
        <v>707</v>
      </c>
      <c r="D18" s="59">
        <v>759</v>
      </c>
      <c r="E18" s="244" t="s">
        <v>237</v>
      </c>
      <c r="F18" s="61"/>
      <c r="G18" s="244" t="s">
        <v>354</v>
      </c>
      <c r="H18" s="61"/>
      <c r="I18" s="67">
        <v>300000000</v>
      </c>
      <c r="J18" s="67">
        <v>206354124</v>
      </c>
      <c r="K18" s="70">
        <f t="shared" si="0"/>
        <v>93645876</v>
      </c>
      <c r="L18" s="342">
        <v>170000000</v>
      </c>
      <c r="N18" s="211"/>
    </row>
    <row r="19" spans="1:14" hidden="1" x14ac:dyDescent="0.25">
      <c r="A19" s="43">
        <v>43174</v>
      </c>
      <c r="B19" s="58" t="s">
        <v>351</v>
      </c>
      <c r="C19" s="59">
        <v>706</v>
      </c>
      <c r="D19" s="59">
        <v>760</v>
      </c>
      <c r="E19" s="244" t="s">
        <v>236</v>
      </c>
      <c r="F19" s="61"/>
      <c r="G19" s="244" t="s">
        <v>352</v>
      </c>
      <c r="H19" s="61"/>
      <c r="I19" s="67">
        <v>371636800</v>
      </c>
      <c r="J19" s="67">
        <v>371636800</v>
      </c>
      <c r="K19" s="70">
        <f t="shared" si="0"/>
        <v>0</v>
      </c>
      <c r="N19" s="211"/>
    </row>
    <row r="20" spans="1:14" x14ac:dyDescent="0.25">
      <c r="A20" s="43">
        <v>43220</v>
      </c>
      <c r="B20" s="58" t="s">
        <v>431</v>
      </c>
      <c r="C20" s="59">
        <v>749</v>
      </c>
      <c r="D20" s="59">
        <v>812</v>
      </c>
      <c r="E20" s="244" t="s">
        <v>432</v>
      </c>
      <c r="F20" s="61"/>
      <c r="G20" s="244" t="s">
        <v>206</v>
      </c>
      <c r="H20" s="61"/>
      <c r="I20" s="67">
        <v>47594877</v>
      </c>
      <c r="J20" s="67">
        <v>37348757</v>
      </c>
      <c r="K20" s="70">
        <f t="shared" si="0"/>
        <v>10246120</v>
      </c>
      <c r="N20" s="211"/>
    </row>
    <row r="21" spans="1:14" x14ac:dyDescent="0.25">
      <c r="A21" s="43">
        <v>43235</v>
      </c>
      <c r="B21" s="58" t="s">
        <v>454</v>
      </c>
      <c r="C21" s="59">
        <v>738</v>
      </c>
      <c r="D21" s="59">
        <v>826</v>
      </c>
      <c r="E21" s="244" t="s">
        <v>321</v>
      </c>
      <c r="F21" s="61"/>
      <c r="G21" s="244" t="s">
        <v>455</v>
      </c>
      <c r="H21" s="61"/>
      <c r="I21" s="67">
        <v>1685132360</v>
      </c>
      <c r="J21" s="67">
        <v>845422631</v>
      </c>
      <c r="K21" s="70">
        <f t="shared" si="0"/>
        <v>839709729</v>
      </c>
      <c r="L21" s="342">
        <v>800000000</v>
      </c>
      <c r="N21" s="211"/>
    </row>
    <row r="22" spans="1:14" x14ac:dyDescent="0.25">
      <c r="A22" s="43">
        <v>43298</v>
      </c>
      <c r="B22" s="58" t="s">
        <v>508</v>
      </c>
      <c r="C22" s="59">
        <v>780</v>
      </c>
      <c r="D22" s="59">
        <v>920</v>
      </c>
      <c r="E22" s="244" t="s">
        <v>456</v>
      </c>
      <c r="F22" s="61"/>
      <c r="G22" s="244" t="s">
        <v>547</v>
      </c>
      <c r="H22" s="61"/>
      <c r="I22" s="67">
        <v>116476000</v>
      </c>
      <c r="J22" s="67">
        <v>96476000</v>
      </c>
      <c r="K22" s="70">
        <f t="shared" si="0"/>
        <v>20000000</v>
      </c>
      <c r="N22" s="211"/>
    </row>
    <row r="23" spans="1:14" hidden="1" x14ac:dyDescent="0.25">
      <c r="A23" s="43">
        <v>43307</v>
      </c>
      <c r="B23" s="58" t="s">
        <v>466</v>
      </c>
      <c r="C23" s="59">
        <v>741</v>
      </c>
      <c r="D23" s="59">
        <v>941</v>
      </c>
      <c r="E23" s="244" t="s">
        <v>569</v>
      </c>
      <c r="F23" s="61"/>
      <c r="G23" s="244" t="s">
        <v>468</v>
      </c>
      <c r="H23" s="61"/>
      <c r="I23" s="67">
        <v>3000</v>
      </c>
      <c r="J23" s="67">
        <v>3000</v>
      </c>
      <c r="K23" s="70">
        <f t="shared" si="0"/>
        <v>0</v>
      </c>
      <c r="N23" s="211"/>
    </row>
    <row r="24" spans="1:14" x14ac:dyDescent="0.25">
      <c r="A24" s="43">
        <v>43314</v>
      </c>
      <c r="B24" s="58" t="s">
        <v>588</v>
      </c>
      <c r="C24" s="59">
        <v>847</v>
      </c>
      <c r="D24" s="59">
        <v>958</v>
      </c>
      <c r="E24" s="244" t="s">
        <v>556</v>
      </c>
      <c r="F24" s="61"/>
      <c r="G24" s="244" t="s">
        <v>589</v>
      </c>
      <c r="H24" s="61"/>
      <c r="I24" s="67">
        <v>31806980</v>
      </c>
      <c r="J24" s="67">
        <v>16740511</v>
      </c>
      <c r="K24" s="70">
        <f t="shared" si="0"/>
        <v>15066469</v>
      </c>
      <c r="N24" s="211"/>
    </row>
    <row r="25" spans="1:14" hidden="1" x14ac:dyDescent="0.25">
      <c r="A25" s="43">
        <v>43361</v>
      </c>
      <c r="B25" s="58" t="s">
        <v>466</v>
      </c>
      <c r="C25" s="59">
        <v>741</v>
      </c>
      <c r="D25" s="59">
        <v>1386</v>
      </c>
      <c r="E25" s="244" t="s">
        <v>718</v>
      </c>
      <c r="F25" s="61"/>
      <c r="G25" s="244" t="s">
        <v>468</v>
      </c>
      <c r="H25" s="61"/>
      <c r="I25" s="67">
        <v>280000</v>
      </c>
      <c r="J25" s="67">
        <v>280000</v>
      </c>
      <c r="K25" s="70">
        <f t="shared" si="0"/>
        <v>0</v>
      </c>
      <c r="N25" s="211"/>
    </row>
    <row r="26" spans="1:14" x14ac:dyDescent="0.25">
      <c r="A26" s="43">
        <v>43364</v>
      </c>
      <c r="B26" s="58" t="s">
        <v>736</v>
      </c>
      <c r="C26" s="59">
        <v>909</v>
      </c>
      <c r="D26" s="59">
        <v>1476</v>
      </c>
      <c r="E26" s="244" t="s">
        <v>694</v>
      </c>
      <c r="F26" s="61"/>
      <c r="G26" s="244" t="s">
        <v>737</v>
      </c>
      <c r="H26" s="61"/>
      <c r="I26" s="67">
        <v>63963822</v>
      </c>
      <c r="J26" s="67">
        <v>0</v>
      </c>
      <c r="K26" s="70">
        <f t="shared" si="0"/>
        <v>63963822</v>
      </c>
      <c r="N26" s="211"/>
    </row>
    <row r="27" spans="1:14" hidden="1" x14ac:dyDescent="0.25">
      <c r="A27" s="43">
        <v>43398</v>
      </c>
      <c r="B27" s="58" t="s">
        <v>811</v>
      </c>
      <c r="C27" s="59">
        <v>1442</v>
      </c>
      <c r="D27" s="59">
        <v>1628</v>
      </c>
      <c r="E27" s="244" t="s">
        <v>781</v>
      </c>
      <c r="F27" s="61"/>
      <c r="G27" s="244" t="s">
        <v>812</v>
      </c>
      <c r="H27" s="61"/>
      <c r="I27" s="67">
        <v>130386258</v>
      </c>
      <c r="J27" s="67">
        <v>130386258</v>
      </c>
      <c r="K27" s="70">
        <f t="shared" si="0"/>
        <v>0</v>
      </c>
    </row>
    <row r="28" spans="1:14" x14ac:dyDescent="0.25">
      <c r="A28" s="43">
        <v>43405</v>
      </c>
      <c r="B28" s="58" t="s">
        <v>815</v>
      </c>
      <c r="C28" s="59">
        <v>901</v>
      </c>
      <c r="D28" s="59">
        <v>1638</v>
      </c>
      <c r="E28" s="244" t="s">
        <v>679</v>
      </c>
      <c r="F28" s="61"/>
      <c r="G28" s="244" t="s">
        <v>240</v>
      </c>
      <c r="H28" s="61"/>
      <c r="I28" s="67">
        <v>24151100</v>
      </c>
      <c r="J28" s="67">
        <v>0</v>
      </c>
      <c r="K28" s="70">
        <f t="shared" si="0"/>
        <v>24151100</v>
      </c>
    </row>
    <row r="29" spans="1:14" hidden="1" x14ac:dyDescent="0.25">
      <c r="A29" s="43">
        <v>43418</v>
      </c>
      <c r="B29" s="58" t="s">
        <v>466</v>
      </c>
      <c r="C29" s="59">
        <v>741</v>
      </c>
      <c r="D29" s="59">
        <v>1662</v>
      </c>
      <c r="E29" s="244" t="s">
        <v>827</v>
      </c>
      <c r="F29" s="61"/>
      <c r="G29" s="244" t="s">
        <v>468</v>
      </c>
      <c r="H29" s="61"/>
      <c r="I29" s="67">
        <v>300000</v>
      </c>
      <c r="J29" s="67">
        <v>300000</v>
      </c>
      <c r="K29" s="70">
        <f t="shared" si="0"/>
        <v>0</v>
      </c>
    </row>
    <row r="30" spans="1:14" x14ac:dyDescent="0.25">
      <c r="A30" s="43"/>
      <c r="B30" s="58"/>
      <c r="C30" s="59"/>
      <c r="D30" s="59"/>
      <c r="E30" s="39"/>
      <c r="F30" s="61"/>
      <c r="G30" s="39"/>
      <c r="H30" s="61"/>
      <c r="I30" s="70"/>
      <c r="J30" s="70"/>
      <c r="K30" s="70"/>
    </row>
    <row r="31" spans="1:14" x14ac:dyDescent="0.25">
      <c r="A31" s="50"/>
      <c r="B31" s="51"/>
      <c r="C31" s="51"/>
      <c r="D31" s="51"/>
      <c r="E31" s="51"/>
      <c r="F31" s="51"/>
      <c r="G31" s="344" t="s">
        <v>131</v>
      </c>
      <c r="H31" s="345"/>
      <c r="I31" s="73">
        <f>SUM(I15:I30)</f>
        <v>3454784281</v>
      </c>
      <c r="J31" s="73">
        <f>SUM(J15:J30)</f>
        <v>2388001161</v>
      </c>
      <c r="K31" s="73">
        <f>SUM(K15:K30)</f>
        <v>1066783120</v>
      </c>
    </row>
    <row r="32" spans="1:14" ht="12.75" customHeight="1" x14ac:dyDescent="0.25">
      <c r="A32" s="3"/>
      <c r="B32" s="3"/>
      <c r="C32" s="3"/>
      <c r="D32" s="3"/>
      <c r="E32" s="3"/>
      <c r="F32" s="3"/>
      <c r="G32" s="3"/>
      <c r="H32" s="3"/>
      <c r="I32" s="22"/>
      <c r="J32" s="82"/>
      <c r="K32" s="51"/>
    </row>
    <row r="33" spans="1:11" ht="24.95" customHeight="1" x14ac:dyDescent="0.25">
      <c r="A33" s="284" t="s">
        <v>58</v>
      </c>
      <c r="B33" s="284" t="s">
        <v>132</v>
      </c>
      <c r="C33" s="284" t="s">
        <v>30</v>
      </c>
      <c r="D33" s="285" t="s">
        <v>59</v>
      </c>
      <c r="E33" s="284" t="s">
        <v>40</v>
      </c>
      <c r="F33" s="284" t="s">
        <v>62</v>
      </c>
      <c r="G33" s="284" t="s">
        <v>37</v>
      </c>
      <c r="H33" s="284" t="s">
        <v>60</v>
      </c>
      <c r="I33" s="284" t="s">
        <v>61</v>
      </c>
      <c r="J33" s="284" t="s">
        <v>98</v>
      </c>
      <c r="K33" s="284" t="s">
        <v>68</v>
      </c>
    </row>
    <row r="34" spans="1:11" ht="24.95" customHeight="1" x14ac:dyDescent="0.25">
      <c r="A34" s="291">
        <v>3594000000</v>
      </c>
      <c r="B34" s="291"/>
      <c r="C34" s="291">
        <v>0</v>
      </c>
      <c r="D34" s="287">
        <f>+A34+B34-C34</f>
        <v>3594000000</v>
      </c>
      <c r="E34" s="287">
        <f>+I31</f>
        <v>3454784281</v>
      </c>
      <c r="F34" s="288">
        <f>+E34/D34</f>
        <v>0.96126440762381749</v>
      </c>
      <c r="G34" s="287">
        <f>+I11</f>
        <v>31244256</v>
      </c>
      <c r="H34" s="287">
        <f>+D34-E34-G34</f>
        <v>107971463</v>
      </c>
      <c r="I34" s="292">
        <f>+J31</f>
        <v>2388001161</v>
      </c>
      <c r="J34" s="293">
        <f>+I34/D34</f>
        <v>0.66444105759599337</v>
      </c>
      <c r="K34" s="292">
        <f>+K31</f>
        <v>1066783120</v>
      </c>
    </row>
    <row r="35" spans="1:11" x14ac:dyDescent="0.25">
      <c r="A35" s="290">
        <v>1</v>
      </c>
      <c r="B35" s="290">
        <v>2</v>
      </c>
      <c r="C35" s="290">
        <v>3</v>
      </c>
      <c r="D35" s="290" t="s">
        <v>42</v>
      </c>
      <c r="E35" s="290">
        <v>5</v>
      </c>
      <c r="F35" s="290" t="s">
        <v>69</v>
      </c>
      <c r="G35" s="290">
        <v>7</v>
      </c>
      <c r="H35" s="290" t="s">
        <v>70</v>
      </c>
      <c r="I35" s="290">
        <v>9</v>
      </c>
      <c r="J35" s="290" t="s">
        <v>99</v>
      </c>
      <c r="K35" s="290" t="s">
        <v>100</v>
      </c>
    </row>
  </sheetData>
  <autoFilter ref="A13:K29" xr:uid="{EBC1773C-4600-4C0F-B8EF-A424B00FDAF5}">
    <filterColumn colId="4" showButton="0"/>
    <filterColumn colId="5" showButton="0"/>
    <filterColumn colId="6" showButton="0"/>
    <filterColumn colId="10">
      <filters>
        <filter val="10.246.120"/>
        <filter val="15.066.469"/>
        <filter val="20.000.000"/>
        <filter val="24.151.100"/>
        <filter val="4"/>
        <filter val="63.963.822"/>
        <filter val="839.709.729"/>
        <filter val="93.645.876"/>
        <filter val="GIRAR"/>
      </filters>
    </filterColumn>
  </autoFilter>
  <mergeCells count="16">
    <mergeCell ref="G31:H31"/>
    <mergeCell ref="E13:H13"/>
    <mergeCell ref="E14:F14"/>
    <mergeCell ref="G14:H14"/>
    <mergeCell ref="E5:H5"/>
    <mergeCell ref="E6:H6"/>
    <mergeCell ref="G11:H11"/>
    <mergeCell ref="J13:J14"/>
    <mergeCell ref="I13:I14"/>
    <mergeCell ref="A13:A14"/>
    <mergeCell ref="B5:B6"/>
    <mergeCell ref="D5:D6"/>
    <mergeCell ref="I5:I6"/>
    <mergeCell ref="J5:K6"/>
    <mergeCell ref="A5:A6"/>
    <mergeCell ref="C5:C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9"/>
  <sheetViews>
    <sheetView workbookViewId="0">
      <selection activeCell="J22" sqref="J2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118</v>
      </c>
      <c r="B3" s="278" t="s">
        <v>4</v>
      </c>
      <c r="C3" s="275"/>
      <c r="D3" s="275"/>
      <c r="E3" s="276"/>
      <c r="F3" s="276"/>
      <c r="G3" s="276"/>
      <c r="H3" s="276"/>
      <c r="I3" s="276"/>
      <c r="J3" s="276"/>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36"/>
      <c r="B7" s="37"/>
      <c r="C7" s="38"/>
      <c r="D7" s="39"/>
      <c r="E7" s="37"/>
      <c r="F7" s="40"/>
      <c r="G7" s="41"/>
      <c r="H7" s="42"/>
      <c r="I7" s="38"/>
      <c r="J7" s="37"/>
      <c r="K7" s="38"/>
    </row>
    <row r="8" spans="1:11" ht="12.75" customHeight="1" x14ac:dyDescent="0.25">
      <c r="A8" s="43">
        <v>43172</v>
      </c>
      <c r="B8" s="39" t="s">
        <v>172</v>
      </c>
      <c r="C8" s="44"/>
      <c r="D8" s="45">
        <v>741</v>
      </c>
      <c r="E8" s="39" t="s">
        <v>342</v>
      </c>
      <c r="F8" s="32"/>
      <c r="G8" s="46"/>
      <c r="H8" s="47"/>
      <c r="I8" s="312">
        <f>1000000-69850-111000-110954-29800-36834</f>
        <v>641562</v>
      </c>
      <c r="J8" s="39"/>
      <c r="K8" s="44"/>
    </row>
    <row r="9" spans="1:11" ht="12.75" customHeight="1" x14ac:dyDescent="0.25">
      <c r="A9" s="43"/>
      <c r="B9" s="39"/>
      <c r="C9" s="44"/>
      <c r="D9" s="45"/>
      <c r="E9" s="39"/>
      <c r="F9" s="32"/>
      <c r="G9" s="46"/>
      <c r="H9" s="47"/>
      <c r="I9" s="312"/>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4" t="s">
        <v>131</v>
      </c>
      <c r="H11" s="345"/>
      <c r="I11" s="69">
        <f>SUM(I8:I10)</f>
        <v>641562</v>
      </c>
      <c r="J11" s="52"/>
      <c r="K11" s="53"/>
    </row>
    <row r="12" spans="1:11" ht="12.75" customHeight="1" x14ac:dyDescent="0.25">
      <c r="A12" s="3"/>
      <c r="B12" s="3"/>
      <c r="C12" s="3"/>
      <c r="D12" s="3"/>
      <c r="E12" s="3"/>
      <c r="F12" s="3"/>
      <c r="G12" s="3"/>
      <c r="H12" s="3"/>
      <c r="I12" s="22"/>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ht="12.75" customHeight="1" x14ac:dyDescent="0.25">
      <c r="A15" s="36"/>
      <c r="B15" s="36"/>
      <c r="C15" s="36"/>
      <c r="D15" s="36"/>
      <c r="E15" s="39"/>
      <c r="F15" s="44"/>
      <c r="G15" s="39"/>
      <c r="H15" s="44"/>
      <c r="I15" s="57"/>
      <c r="J15" s="57"/>
      <c r="K15" s="57"/>
    </row>
    <row r="16" spans="1:11" ht="12.75" customHeight="1" x14ac:dyDescent="0.25">
      <c r="A16" s="78">
        <v>43161</v>
      </c>
      <c r="B16" s="31" t="s">
        <v>336</v>
      </c>
      <c r="C16" s="80">
        <v>729</v>
      </c>
      <c r="D16" s="80">
        <v>741</v>
      </c>
      <c r="E16" s="77" t="s">
        <v>337</v>
      </c>
      <c r="F16" s="76"/>
      <c r="G16" s="77" t="s">
        <v>254</v>
      </c>
      <c r="H16" s="76"/>
      <c r="I16" s="214">
        <v>695250</v>
      </c>
      <c r="J16" s="88">
        <v>695250</v>
      </c>
      <c r="K16" s="70">
        <f>+I16-J16</f>
        <v>0</v>
      </c>
    </row>
    <row r="17" spans="1:11" ht="12.75" customHeight="1" x14ac:dyDescent="0.25">
      <c r="A17" s="78">
        <v>43241</v>
      </c>
      <c r="B17" s="79" t="s">
        <v>466</v>
      </c>
      <c r="C17" s="80">
        <v>741</v>
      </c>
      <c r="D17" s="80">
        <v>836</v>
      </c>
      <c r="E17" s="77" t="s">
        <v>467</v>
      </c>
      <c r="F17" s="76"/>
      <c r="G17" s="77" t="s">
        <v>468</v>
      </c>
      <c r="H17" s="76"/>
      <c r="I17" s="214">
        <v>69850</v>
      </c>
      <c r="J17" s="88">
        <v>69850</v>
      </c>
      <c r="K17" s="70">
        <f t="shared" ref="K17:K22" si="0">+I17-J17</f>
        <v>0</v>
      </c>
    </row>
    <row r="18" spans="1:11" ht="12.75" customHeight="1" x14ac:dyDescent="0.25">
      <c r="A18" s="78">
        <v>43307</v>
      </c>
      <c r="B18" s="79" t="s">
        <v>466</v>
      </c>
      <c r="C18" s="80">
        <v>741</v>
      </c>
      <c r="D18" s="80">
        <v>941</v>
      </c>
      <c r="E18" s="77" t="s">
        <v>569</v>
      </c>
      <c r="F18" s="76"/>
      <c r="G18" s="77" t="s">
        <v>468</v>
      </c>
      <c r="H18" s="76"/>
      <c r="I18" s="214">
        <v>111000</v>
      </c>
      <c r="J18" s="88">
        <v>111000</v>
      </c>
      <c r="K18" s="70">
        <f t="shared" si="0"/>
        <v>0</v>
      </c>
    </row>
    <row r="19" spans="1:11" ht="12.75" customHeight="1" x14ac:dyDescent="0.25">
      <c r="A19" s="78">
        <v>43340</v>
      </c>
      <c r="B19" s="79" t="s">
        <v>466</v>
      </c>
      <c r="C19" s="80">
        <v>741</v>
      </c>
      <c r="D19" s="80">
        <v>1028</v>
      </c>
      <c r="E19" t="s">
        <v>690</v>
      </c>
      <c r="F19" s="76"/>
      <c r="G19" s="77" t="s">
        <v>468</v>
      </c>
      <c r="H19" s="76"/>
      <c r="I19" s="214">
        <v>110954</v>
      </c>
      <c r="J19" s="88">
        <v>110954</v>
      </c>
      <c r="K19" s="70">
        <f t="shared" si="0"/>
        <v>0</v>
      </c>
    </row>
    <row r="20" spans="1:11" ht="12.75" customHeight="1" x14ac:dyDescent="0.25">
      <c r="A20" s="78">
        <v>43361</v>
      </c>
      <c r="B20" s="79" t="s">
        <v>466</v>
      </c>
      <c r="C20" s="80">
        <v>741</v>
      </c>
      <c r="D20" s="80">
        <v>1386</v>
      </c>
      <c r="E20" t="s">
        <v>718</v>
      </c>
      <c r="F20" s="76"/>
      <c r="G20" s="77" t="s">
        <v>468</v>
      </c>
      <c r="H20" s="76"/>
      <c r="I20" s="214">
        <v>29800</v>
      </c>
      <c r="J20" s="88">
        <v>29800</v>
      </c>
      <c r="K20" s="70">
        <f t="shared" si="0"/>
        <v>0</v>
      </c>
    </row>
    <row r="21" spans="1:11" ht="12.75" customHeight="1" x14ac:dyDescent="0.25">
      <c r="A21" s="78">
        <v>43405</v>
      </c>
      <c r="B21" s="79" t="s">
        <v>819</v>
      </c>
      <c r="C21" s="80">
        <v>1455</v>
      </c>
      <c r="D21" s="80">
        <v>1633</v>
      </c>
      <c r="E21" t="s">
        <v>820</v>
      </c>
      <c r="F21" s="76"/>
      <c r="G21" s="77" t="s">
        <v>468</v>
      </c>
      <c r="H21" s="76"/>
      <c r="I21" s="214">
        <v>7812420</v>
      </c>
      <c r="J21" s="88">
        <v>7812420</v>
      </c>
      <c r="K21" s="70">
        <f t="shared" si="0"/>
        <v>0</v>
      </c>
    </row>
    <row r="22" spans="1:11" ht="12.75" customHeight="1" x14ac:dyDescent="0.25">
      <c r="A22" s="78" t="s">
        <v>837</v>
      </c>
      <c r="B22" s="79" t="s">
        <v>466</v>
      </c>
      <c r="C22" s="80">
        <v>741</v>
      </c>
      <c r="D22" s="80">
        <v>1662</v>
      </c>
      <c r="E22" t="s">
        <v>827</v>
      </c>
      <c r="F22" s="76"/>
      <c r="G22" s="77" t="s">
        <v>468</v>
      </c>
      <c r="H22" s="76"/>
      <c r="I22" s="214">
        <v>36834</v>
      </c>
      <c r="J22" s="88">
        <v>36834</v>
      </c>
      <c r="K22" s="70">
        <f t="shared" si="0"/>
        <v>0</v>
      </c>
    </row>
    <row r="23" spans="1:11" ht="12.75" customHeight="1" x14ac:dyDescent="0.25">
      <c r="A23" s="78"/>
      <c r="B23" s="79"/>
      <c r="C23" s="80"/>
      <c r="D23" s="80"/>
      <c r="E23"/>
      <c r="F23" s="76"/>
      <c r="G23" s="77"/>
      <c r="H23" s="76"/>
      <c r="I23" s="214"/>
      <c r="J23" s="88"/>
      <c r="K23" s="70"/>
    </row>
    <row r="24" spans="1:11" ht="12.75" customHeight="1" x14ac:dyDescent="0.25">
      <c r="A24" s="43"/>
      <c r="B24" s="58"/>
      <c r="C24" s="36"/>
      <c r="D24" s="36"/>
      <c r="E24" s="39"/>
      <c r="F24" s="44"/>
      <c r="G24" s="39"/>
      <c r="H24" s="44"/>
      <c r="I24" s="83"/>
      <c r="J24" s="83"/>
      <c r="K24" s="83"/>
    </row>
    <row r="25" spans="1:11" x14ac:dyDescent="0.25">
      <c r="A25" s="50"/>
      <c r="B25" s="51"/>
      <c r="C25" s="51"/>
      <c r="D25" s="51"/>
      <c r="E25" s="51"/>
      <c r="F25" s="51"/>
      <c r="G25" s="344" t="s">
        <v>131</v>
      </c>
      <c r="H25" s="345"/>
      <c r="I25" s="73">
        <f>SUM(I16:I24)</f>
        <v>8866108</v>
      </c>
      <c r="J25" s="73">
        <f>SUM(J16:J24)</f>
        <v>8866108</v>
      </c>
      <c r="K25" s="73">
        <f>SUM(K16:K24)</f>
        <v>0</v>
      </c>
    </row>
    <row r="26" spans="1:11" ht="12.75" customHeight="1" x14ac:dyDescent="0.25">
      <c r="A26" s="3"/>
      <c r="B26" s="3"/>
      <c r="C26" s="3"/>
      <c r="D26" s="3"/>
      <c r="E26" s="3"/>
      <c r="F26" s="3"/>
      <c r="G26" s="3"/>
      <c r="H26" s="3"/>
      <c r="I26" s="3"/>
      <c r="J26" s="32"/>
      <c r="K26" s="51"/>
    </row>
    <row r="27" spans="1:11" ht="24.95" customHeight="1" x14ac:dyDescent="0.25">
      <c r="A27" s="284" t="s">
        <v>58</v>
      </c>
      <c r="B27" s="284" t="s">
        <v>132</v>
      </c>
      <c r="C27" s="284" t="s">
        <v>30</v>
      </c>
      <c r="D27" s="285" t="s">
        <v>59</v>
      </c>
      <c r="E27" s="284" t="s">
        <v>40</v>
      </c>
      <c r="F27" s="284" t="s">
        <v>62</v>
      </c>
      <c r="G27" s="284" t="s">
        <v>37</v>
      </c>
      <c r="H27" s="284" t="s">
        <v>60</v>
      </c>
      <c r="I27" s="284" t="s">
        <v>61</v>
      </c>
      <c r="J27" s="284" t="s">
        <v>98</v>
      </c>
      <c r="K27" s="284" t="s">
        <v>68</v>
      </c>
    </row>
    <row r="28" spans="1:11" ht="24.95" customHeight="1" x14ac:dyDescent="0.25">
      <c r="A28" s="291">
        <v>2120000</v>
      </c>
      <c r="B28" s="291">
        <v>7812420</v>
      </c>
      <c r="C28" s="291">
        <v>0</v>
      </c>
      <c r="D28" s="287">
        <f>+A28+B28-C28</f>
        <v>9932420</v>
      </c>
      <c r="E28" s="287">
        <f>+I25</f>
        <v>8866108</v>
      </c>
      <c r="F28" s="288">
        <f>+E28/D28</f>
        <v>0.89264328330859954</v>
      </c>
      <c r="G28" s="287">
        <f>+I11</f>
        <v>641562</v>
      </c>
      <c r="H28" s="287">
        <f>+D28-E28-G28</f>
        <v>424750</v>
      </c>
      <c r="I28" s="287">
        <f>+J25</f>
        <v>8866108</v>
      </c>
      <c r="J28" s="293">
        <f>+I28/D28</f>
        <v>0.89264328330859954</v>
      </c>
      <c r="K28" s="287">
        <f>+K25</f>
        <v>0</v>
      </c>
    </row>
    <row r="29" spans="1:11" x14ac:dyDescent="0.25">
      <c r="A29" s="290">
        <v>1</v>
      </c>
      <c r="B29" s="290">
        <v>2</v>
      </c>
      <c r="C29" s="290">
        <v>3</v>
      </c>
      <c r="D29" s="290" t="s">
        <v>42</v>
      </c>
      <c r="E29" s="290">
        <v>5</v>
      </c>
      <c r="F29" s="290" t="s">
        <v>69</v>
      </c>
      <c r="G29" s="290">
        <v>7</v>
      </c>
      <c r="H29" s="290" t="s">
        <v>70</v>
      </c>
      <c r="I29" s="290">
        <v>9</v>
      </c>
      <c r="J29" s="290" t="s">
        <v>99</v>
      </c>
      <c r="K29" s="290" t="s">
        <v>100</v>
      </c>
    </row>
  </sheetData>
  <mergeCells count="15">
    <mergeCell ref="G25:H25"/>
    <mergeCell ref="J5:K6"/>
    <mergeCell ref="E6:H6"/>
    <mergeCell ref="G11:H11"/>
    <mergeCell ref="A13:A14"/>
    <mergeCell ref="E13:H13"/>
    <mergeCell ref="I13:I14"/>
    <mergeCell ref="J13:J14"/>
    <mergeCell ref="E14:F14"/>
    <mergeCell ref="G14:H14"/>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
  <sheetViews>
    <sheetView topLeftCell="A10" workbookViewId="0">
      <selection activeCell="I8" sqref="I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121</v>
      </c>
      <c r="B3" s="278" t="s">
        <v>92</v>
      </c>
      <c r="C3" s="275"/>
      <c r="D3" s="275"/>
      <c r="E3" s="276"/>
      <c r="F3" s="276"/>
      <c r="G3" s="276"/>
      <c r="H3" s="276"/>
      <c r="I3" s="276"/>
      <c r="J3" s="276"/>
      <c r="K3" s="277" t="s">
        <v>825</v>
      </c>
    </row>
    <row r="4" spans="1:11" ht="12.75" customHeight="1" x14ac:dyDescent="0.25">
      <c r="A4" s="33"/>
      <c r="B4" s="33"/>
      <c r="C4" s="33"/>
      <c r="D4" s="33"/>
      <c r="E4" s="33"/>
      <c r="F4" s="33"/>
      <c r="G4" s="146"/>
      <c r="H4" s="33"/>
      <c r="I4" s="137"/>
      <c r="J4" s="33"/>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100"/>
      <c r="B7" s="229"/>
      <c r="C7" s="127"/>
      <c r="D7" s="124"/>
      <c r="E7" s="230"/>
      <c r="F7" s="101"/>
      <c r="G7" s="101"/>
      <c r="H7" s="102"/>
      <c r="I7" s="103"/>
      <c r="J7" s="127"/>
      <c r="K7" s="103"/>
    </row>
    <row r="8" spans="1:11" x14ac:dyDescent="0.25">
      <c r="A8" s="271">
        <v>43426</v>
      </c>
      <c r="B8" s="132" t="s">
        <v>859</v>
      </c>
      <c r="C8" s="265"/>
      <c r="D8" s="114">
        <v>1499</v>
      </c>
      <c r="E8" s="60" t="s">
        <v>860</v>
      </c>
      <c r="F8" s="101"/>
      <c r="G8" s="101"/>
      <c r="H8" s="102"/>
      <c r="I8" s="299">
        <v>72804850</v>
      </c>
      <c r="J8" s="127"/>
      <c r="K8" s="103"/>
    </row>
    <row r="9" spans="1:11" ht="12.75" customHeight="1" x14ac:dyDescent="0.25">
      <c r="A9" s="43"/>
      <c r="B9" s="48"/>
      <c r="C9" s="49"/>
      <c r="D9" s="39"/>
      <c r="E9" s="39"/>
      <c r="F9" s="32"/>
      <c r="G9" s="46"/>
      <c r="H9" s="47"/>
      <c r="I9" s="67"/>
      <c r="J9" s="39"/>
      <c r="K9" s="44"/>
    </row>
    <row r="10" spans="1:11" x14ac:dyDescent="0.25">
      <c r="A10" s="50"/>
      <c r="B10" s="51"/>
      <c r="C10" s="51"/>
      <c r="D10" s="51"/>
      <c r="E10" s="51"/>
      <c r="F10" s="51"/>
      <c r="G10" s="344" t="s">
        <v>131</v>
      </c>
      <c r="H10" s="345"/>
      <c r="I10" s="69">
        <f>SUM(I8:I9)</f>
        <v>72804850</v>
      </c>
      <c r="J10" s="52"/>
      <c r="K10" s="53"/>
    </row>
    <row r="11" spans="1:11" ht="12.75" customHeight="1" x14ac:dyDescent="0.25">
      <c r="A11" s="3"/>
      <c r="B11" s="3"/>
      <c r="C11" s="3"/>
      <c r="D11" s="3"/>
      <c r="E11" s="3"/>
      <c r="F11" s="3"/>
      <c r="G11" s="3"/>
      <c r="H11" s="3"/>
      <c r="I11" s="22"/>
      <c r="J11" s="154"/>
      <c r="K11" s="208"/>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5" customHeight="1" x14ac:dyDescent="0.25">
      <c r="A14" s="43"/>
      <c r="B14" s="58"/>
      <c r="C14" s="59"/>
      <c r="D14" s="59"/>
      <c r="E14" s="60"/>
      <c r="F14" s="61"/>
      <c r="G14" s="60"/>
      <c r="H14" s="61"/>
      <c r="I14" s="70"/>
      <c r="J14" s="70"/>
      <c r="K14" s="70"/>
    </row>
    <row r="15" spans="1:11" x14ac:dyDescent="0.25">
      <c r="A15" s="43">
        <v>43122</v>
      </c>
      <c r="B15" s="58" t="s">
        <v>195</v>
      </c>
      <c r="C15" s="59">
        <v>453</v>
      </c>
      <c r="D15" s="59">
        <v>384</v>
      </c>
      <c r="E15" s="60" t="s">
        <v>228</v>
      </c>
      <c r="F15" s="61"/>
      <c r="G15" s="60" t="s">
        <v>227</v>
      </c>
      <c r="H15" s="61"/>
      <c r="I15" s="67">
        <v>4341517002</v>
      </c>
      <c r="J15" s="67">
        <v>4341517002</v>
      </c>
      <c r="K15" s="70">
        <f>+I15-J15</f>
        <v>0</v>
      </c>
    </row>
    <row r="16" spans="1:11" x14ac:dyDescent="0.25">
      <c r="A16" s="43">
        <v>43125</v>
      </c>
      <c r="B16" s="58" t="s">
        <v>198</v>
      </c>
      <c r="C16" s="59">
        <v>517</v>
      </c>
      <c r="D16" s="59">
        <v>487</v>
      </c>
      <c r="E16" s="60" t="s">
        <v>199</v>
      </c>
      <c r="F16" s="61"/>
      <c r="G16" s="60" t="s">
        <v>227</v>
      </c>
      <c r="H16" s="61"/>
      <c r="I16" s="70">
        <v>11560780</v>
      </c>
      <c r="J16" s="70">
        <v>11560780</v>
      </c>
      <c r="K16" s="70">
        <f t="shared" ref="K16:K19" si="0">+I16-J16</f>
        <v>0</v>
      </c>
    </row>
    <row r="17" spans="1:12" x14ac:dyDescent="0.25">
      <c r="A17" s="43">
        <v>43147</v>
      </c>
      <c r="B17" s="58" t="s">
        <v>257</v>
      </c>
      <c r="C17" s="59">
        <v>719</v>
      </c>
      <c r="D17" s="219">
        <v>714</v>
      </c>
      <c r="E17" s="60" t="s">
        <v>256</v>
      </c>
      <c r="F17" s="61"/>
      <c r="G17" s="60" t="s">
        <v>227</v>
      </c>
      <c r="H17" s="61"/>
      <c r="I17" s="70">
        <v>3769249137</v>
      </c>
      <c r="J17" s="70">
        <v>3769249137</v>
      </c>
      <c r="K17" s="70">
        <f t="shared" si="0"/>
        <v>0</v>
      </c>
    </row>
    <row r="18" spans="1:12" x14ac:dyDescent="0.25">
      <c r="A18" s="43">
        <v>43154</v>
      </c>
      <c r="B18" s="58" t="s">
        <v>310</v>
      </c>
      <c r="C18" s="59">
        <v>727</v>
      </c>
      <c r="D18" s="219">
        <v>732</v>
      </c>
      <c r="E18" s="60" t="s">
        <v>311</v>
      </c>
      <c r="F18" s="61"/>
      <c r="G18" s="60" t="s">
        <v>227</v>
      </c>
      <c r="H18" s="61"/>
      <c r="I18" s="70">
        <v>13055958</v>
      </c>
      <c r="J18" s="70">
        <v>13055958</v>
      </c>
      <c r="K18" s="70">
        <f t="shared" si="0"/>
        <v>0</v>
      </c>
    </row>
    <row r="19" spans="1:12" x14ac:dyDescent="0.25">
      <c r="A19" s="43">
        <v>43174</v>
      </c>
      <c r="B19" s="58" t="s">
        <v>355</v>
      </c>
      <c r="C19" s="59">
        <v>746</v>
      </c>
      <c r="D19" s="219">
        <v>756</v>
      </c>
      <c r="E19" s="60" t="s">
        <v>356</v>
      </c>
      <c r="F19" s="61"/>
      <c r="G19" s="60" t="s">
        <v>227</v>
      </c>
      <c r="H19" s="61"/>
      <c r="I19" s="70">
        <v>3743251329</v>
      </c>
      <c r="J19" s="70">
        <v>3743251329</v>
      </c>
      <c r="K19" s="70">
        <f t="shared" si="0"/>
        <v>0</v>
      </c>
    </row>
    <row r="20" spans="1:12" x14ac:dyDescent="0.25">
      <c r="A20" s="43">
        <v>43192</v>
      </c>
      <c r="B20" s="58" t="s">
        <v>391</v>
      </c>
      <c r="C20" s="59">
        <v>752</v>
      </c>
      <c r="D20" s="219">
        <v>775</v>
      </c>
      <c r="E20" s="60" t="s">
        <v>369</v>
      </c>
      <c r="F20" s="61"/>
      <c r="G20" s="60" t="s">
        <v>227</v>
      </c>
      <c r="H20" s="61"/>
      <c r="I20" s="70">
        <v>13522610</v>
      </c>
      <c r="J20" s="70">
        <v>13522610</v>
      </c>
      <c r="K20" s="70">
        <f t="shared" ref="K20:K29" si="1">+I20-J20</f>
        <v>0</v>
      </c>
    </row>
    <row r="21" spans="1:12" x14ac:dyDescent="0.25">
      <c r="A21" s="43">
        <v>43207</v>
      </c>
      <c r="B21" s="58" t="s">
        <v>408</v>
      </c>
      <c r="C21" s="59">
        <v>765</v>
      </c>
      <c r="D21" s="219">
        <v>793</v>
      </c>
      <c r="E21" s="60" t="s">
        <v>409</v>
      </c>
      <c r="F21" s="61"/>
      <c r="G21" s="60" t="s">
        <v>227</v>
      </c>
      <c r="H21" s="61"/>
      <c r="I21" s="70">
        <v>3838451895</v>
      </c>
      <c r="J21" s="70">
        <v>3838451895</v>
      </c>
      <c r="K21" s="70">
        <f t="shared" si="1"/>
        <v>0</v>
      </c>
    </row>
    <row r="22" spans="1:12" x14ac:dyDescent="0.25">
      <c r="A22" s="43">
        <v>43213</v>
      </c>
      <c r="B22" s="58" t="s">
        <v>426</v>
      </c>
      <c r="C22" s="59">
        <v>771</v>
      </c>
      <c r="D22" s="219">
        <v>804</v>
      </c>
      <c r="E22" s="60" t="s">
        <v>427</v>
      </c>
      <c r="F22" s="61"/>
      <c r="G22" s="60" t="s">
        <v>428</v>
      </c>
      <c r="H22" s="61"/>
      <c r="I22" s="70">
        <v>163821</v>
      </c>
      <c r="J22" s="70">
        <v>163821</v>
      </c>
      <c r="K22" s="70">
        <f t="shared" si="1"/>
        <v>0</v>
      </c>
    </row>
    <row r="23" spans="1:12" x14ac:dyDescent="0.25">
      <c r="A23" s="43">
        <v>43241</v>
      </c>
      <c r="B23" s="58" t="s">
        <v>462</v>
      </c>
      <c r="C23" s="59">
        <v>782</v>
      </c>
      <c r="D23" s="219">
        <v>830</v>
      </c>
      <c r="E23" s="60" t="s">
        <v>463</v>
      </c>
      <c r="F23" s="61"/>
      <c r="G23" s="60" t="s">
        <v>227</v>
      </c>
      <c r="H23" s="61"/>
      <c r="I23" s="70">
        <v>4126851793</v>
      </c>
      <c r="J23" s="70">
        <v>4126851793</v>
      </c>
      <c r="K23" s="70">
        <f t="shared" si="1"/>
        <v>0</v>
      </c>
    </row>
    <row r="24" spans="1:12" x14ac:dyDescent="0.25">
      <c r="A24" s="43">
        <v>43259</v>
      </c>
      <c r="B24" s="58" t="s">
        <v>502</v>
      </c>
      <c r="C24" s="59">
        <v>808</v>
      </c>
      <c r="D24" s="219">
        <v>858</v>
      </c>
      <c r="E24" s="60" t="s">
        <v>503</v>
      </c>
      <c r="F24" s="61"/>
      <c r="G24" s="60" t="s">
        <v>227</v>
      </c>
      <c r="H24" s="61"/>
      <c r="I24" s="70">
        <v>8618487641</v>
      </c>
      <c r="J24" s="70">
        <v>8618487641</v>
      </c>
      <c r="K24" s="70">
        <f t="shared" si="1"/>
        <v>0</v>
      </c>
    </row>
    <row r="25" spans="1:12" x14ac:dyDescent="0.25">
      <c r="A25" s="43">
        <v>43299</v>
      </c>
      <c r="B25" s="58" t="s">
        <v>552</v>
      </c>
      <c r="C25" s="59">
        <v>840</v>
      </c>
      <c r="D25" s="219">
        <v>923</v>
      </c>
      <c r="E25" s="60" t="s">
        <v>553</v>
      </c>
      <c r="F25" s="61"/>
      <c r="G25" s="60" t="s">
        <v>227</v>
      </c>
      <c r="H25" s="61"/>
      <c r="I25" s="70">
        <v>3703266437</v>
      </c>
      <c r="J25" s="70">
        <v>3703266437</v>
      </c>
      <c r="K25" s="70">
        <f t="shared" si="1"/>
        <v>0</v>
      </c>
    </row>
    <row r="26" spans="1:12" x14ac:dyDescent="0.25">
      <c r="A26" s="43">
        <v>43327</v>
      </c>
      <c r="B26" s="58" t="s">
        <v>648</v>
      </c>
      <c r="C26" s="59">
        <v>817</v>
      </c>
      <c r="D26" s="219">
        <v>997</v>
      </c>
      <c r="E26" s="60" t="s">
        <v>649</v>
      </c>
      <c r="F26" s="61"/>
      <c r="G26" s="60" t="s">
        <v>227</v>
      </c>
      <c r="H26" s="61"/>
      <c r="I26" s="70">
        <v>28129865</v>
      </c>
      <c r="J26" s="70">
        <v>28066147</v>
      </c>
      <c r="K26" s="70">
        <f t="shared" si="1"/>
        <v>63718</v>
      </c>
      <c r="L26" s="211"/>
    </row>
    <row r="27" spans="1:12" x14ac:dyDescent="0.25">
      <c r="A27" s="43">
        <v>43334</v>
      </c>
      <c r="B27" s="58" t="s">
        <v>675</v>
      </c>
      <c r="C27" s="59">
        <v>874</v>
      </c>
      <c r="D27" s="219">
        <v>1013</v>
      </c>
      <c r="E27" s="60" t="s">
        <v>676</v>
      </c>
      <c r="F27" s="61"/>
      <c r="G27" s="60" t="s">
        <v>227</v>
      </c>
      <c r="H27" s="61"/>
      <c r="I27" s="70">
        <v>3710527496</v>
      </c>
      <c r="J27" s="70">
        <v>3710527496</v>
      </c>
      <c r="K27" s="70">
        <f t="shared" si="1"/>
        <v>0</v>
      </c>
    </row>
    <row r="28" spans="1:12" x14ac:dyDescent="0.25">
      <c r="A28" s="43">
        <v>43362</v>
      </c>
      <c r="B28" s="58" t="s">
        <v>732</v>
      </c>
      <c r="C28" s="59">
        <v>1322</v>
      </c>
      <c r="D28" s="219">
        <v>1399</v>
      </c>
      <c r="E28" s="60" t="s">
        <v>733</v>
      </c>
      <c r="F28" s="61"/>
      <c r="G28" s="60" t="s">
        <v>227</v>
      </c>
      <c r="H28" s="61"/>
      <c r="I28" s="70">
        <v>3850295562</v>
      </c>
      <c r="J28" s="70">
        <v>3850295562</v>
      </c>
      <c r="K28" s="70">
        <f t="shared" si="1"/>
        <v>0</v>
      </c>
    </row>
    <row r="29" spans="1:12" x14ac:dyDescent="0.25">
      <c r="A29" s="43">
        <v>43367</v>
      </c>
      <c r="B29" s="58" t="s">
        <v>742</v>
      </c>
      <c r="C29" s="59">
        <v>868</v>
      </c>
      <c r="D29" s="219">
        <v>1481</v>
      </c>
      <c r="E29" s="60" t="s">
        <v>743</v>
      </c>
      <c r="F29" s="61"/>
      <c r="G29" s="60" t="s">
        <v>227</v>
      </c>
      <c r="H29" s="61"/>
      <c r="I29" s="70">
        <v>5538117</v>
      </c>
      <c r="J29" s="70">
        <v>5538117</v>
      </c>
      <c r="K29" s="70">
        <f t="shared" si="1"/>
        <v>0</v>
      </c>
    </row>
    <row r="30" spans="1:12" x14ac:dyDescent="0.25">
      <c r="A30" s="43">
        <v>43368</v>
      </c>
      <c r="B30" s="58" t="s">
        <v>751</v>
      </c>
      <c r="C30" s="59">
        <v>1359</v>
      </c>
      <c r="D30" s="219">
        <v>1493</v>
      </c>
      <c r="E30" s="60" t="s">
        <v>752</v>
      </c>
      <c r="F30" s="61"/>
      <c r="G30" s="60" t="s">
        <v>227</v>
      </c>
      <c r="H30" s="61"/>
      <c r="I30" s="70">
        <v>1729962</v>
      </c>
      <c r="J30" s="70">
        <v>1729962</v>
      </c>
      <c r="K30" s="70"/>
    </row>
    <row r="31" spans="1:12" x14ac:dyDescent="0.25">
      <c r="A31" s="43">
        <v>43391</v>
      </c>
      <c r="B31" s="58" t="s">
        <v>808</v>
      </c>
      <c r="C31" s="59">
        <v>1451</v>
      </c>
      <c r="D31" s="219">
        <v>1613</v>
      </c>
      <c r="E31" s="60" t="s">
        <v>809</v>
      </c>
      <c r="F31" s="61"/>
      <c r="G31" s="60" t="s">
        <v>227</v>
      </c>
      <c r="H31" s="61"/>
      <c r="I31" s="70">
        <v>3765852858</v>
      </c>
      <c r="J31" s="70">
        <v>3765852858</v>
      </c>
      <c r="K31" s="70"/>
    </row>
    <row r="32" spans="1:12" x14ac:dyDescent="0.25">
      <c r="A32" s="43">
        <v>43424</v>
      </c>
      <c r="B32" s="58" t="s">
        <v>846</v>
      </c>
      <c r="C32" s="59">
        <v>1490</v>
      </c>
      <c r="D32" s="219">
        <v>1682</v>
      </c>
      <c r="E32" s="60" t="s">
        <v>845</v>
      </c>
      <c r="F32" s="61"/>
      <c r="G32" s="60" t="s">
        <v>227</v>
      </c>
      <c r="H32" s="61"/>
      <c r="I32" s="70">
        <v>4038240769</v>
      </c>
      <c r="J32" s="70">
        <v>4038240769</v>
      </c>
      <c r="K32" s="70"/>
    </row>
    <row r="33" spans="1:14" x14ac:dyDescent="0.25">
      <c r="A33" s="43"/>
      <c r="B33" s="58"/>
      <c r="C33" s="59"/>
      <c r="D33" s="219"/>
      <c r="E33" s="60"/>
      <c r="F33" s="61"/>
      <c r="G33" s="60"/>
      <c r="H33" s="61"/>
      <c r="I33" s="70"/>
      <c r="J33" s="70"/>
      <c r="K33" s="70"/>
    </row>
    <row r="34" spans="1:14" ht="12.75" customHeight="1" x14ac:dyDescent="0.25">
      <c r="A34" s="43"/>
      <c r="B34" s="58"/>
      <c r="C34" s="36"/>
      <c r="D34" s="36"/>
      <c r="E34" s="39"/>
      <c r="F34" s="44"/>
      <c r="G34" s="39"/>
      <c r="H34" s="44"/>
      <c r="I34" s="83"/>
      <c r="J34" s="83"/>
      <c r="K34" s="83"/>
    </row>
    <row r="35" spans="1:14" x14ac:dyDescent="0.25">
      <c r="A35" s="50"/>
      <c r="B35" s="51"/>
      <c r="C35" s="51"/>
      <c r="D35" s="51"/>
      <c r="E35" s="51"/>
      <c r="F35" s="51"/>
      <c r="G35" s="344" t="s">
        <v>131</v>
      </c>
      <c r="H35" s="345"/>
      <c r="I35" s="73">
        <f>SUM(I14:I34)</f>
        <v>47579693032</v>
      </c>
      <c r="J35" s="73">
        <f>SUM(J14:J34)</f>
        <v>47579629314</v>
      </c>
      <c r="K35" s="73">
        <f>SUM(K14:K34)</f>
        <v>63718</v>
      </c>
      <c r="L35" s="211"/>
      <c r="N35" s="211"/>
    </row>
    <row r="36" spans="1:14" ht="12.75" customHeight="1" x14ac:dyDescent="0.25">
      <c r="A36" s="3"/>
      <c r="B36" s="3"/>
      <c r="C36" s="3"/>
      <c r="D36" s="3"/>
      <c r="E36" s="3"/>
      <c r="F36" s="3"/>
      <c r="G36" s="3"/>
      <c r="H36" s="3"/>
      <c r="I36" s="86"/>
      <c r="J36" s="86"/>
      <c r="K36" s="51"/>
    </row>
    <row r="37" spans="1:14" ht="24.95" customHeight="1" x14ac:dyDescent="0.25">
      <c r="A37" s="284" t="s">
        <v>58</v>
      </c>
      <c r="B37" s="284" t="s">
        <v>132</v>
      </c>
      <c r="C37" s="284" t="s">
        <v>30</v>
      </c>
      <c r="D37" s="285" t="s">
        <v>59</v>
      </c>
      <c r="E37" s="284" t="s">
        <v>40</v>
      </c>
      <c r="F37" s="284" t="s">
        <v>62</v>
      </c>
      <c r="G37" s="284" t="s">
        <v>37</v>
      </c>
      <c r="H37" s="284" t="s">
        <v>60</v>
      </c>
      <c r="I37" s="284" t="s">
        <v>61</v>
      </c>
      <c r="J37" s="284" t="s">
        <v>98</v>
      </c>
      <c r="K37" s="284" t="s">
        <v>68</v>
      </c>
    </row>
    <row r="38" spans="1:14" ht="24.95" customHeight="1" x14ac:dyDescent="0.25">
      <c r="A38" s="291">
        <v>62534631000</v>
      </c>
      <c r="B38" s="291">
        <v>-486328236</v>
      </c>
      <c r="C38" s="291">
        <v>0</v>
      </c>
      <c r="D38" s="287">
        <f>+A38+B38-C38</f>
        <v>62048302764</v>
      </c>
      <c r="E38" s="287">
        <f>+I35</f>
        <v>47579693032</v>
      </c>
      <c r="F38" s="288">
        <f>+E38/D38</f>
        <v>0.76681699438208339</v>
      </c>
      <c r="G38" s="287">
        <f>+I10</f>
        <v>72804850</v>
      </c>
      <c r="H38" s="287">
        <f>+D38-E38-G38</f>
        <v>14395804882</v>
      </c>
      <c r="I38" s="287">
        <f>+J35</f>
        <v>47579629314</v>
      </c>
      <c r="J38" s="293">
        <f>+I38/D38</f>
        <v>0.76681596747244751</v>
      </c>
      <c r="K38" s="287">
        <f>+K35</f>
        <v>63718</v>
      </c>
    </row>
    <row r="39" spans="1:14" x14ac:dyDescent="0.25">
      <c r="A39" s="290">
        <v>1</v>
      </c>
      <c r="B39" s="290">
        <v>2</v>
      </c>
      <c r="C39" s="290">
        <v>3</v>
      </c>
      <c r="D39" s="290" t="s">
        <v>42</v>
      </c>
      <c r="E39" s="290">
        <v>5</v>
      </c>
      <c r="F39" s="290" t="s">
        <v>69</v>
      </c>
      <c r="G39" s="290">
        <v>7</v>
      </c>
      <c r="H39" s="290" t="s">
        <v>70</v>
      </c>
      <c r="I39" s="290">
        <v>9</v>
      </c>
      <c r="J39" s="290" t="s">
        <v>99</v>
      </c>
      <c r="K39" s="290" t="s">
        <v>100</v>
      </c>
    </row>
    <row r="41" spans="1:14" x14ac:dyDescent="0.25">
      <c r="E41" s="211"/>
    </row>
    <row r="42" spans="1:14" x14ac:dyDescent="0.25">
      <c r="B42" s="211"/>
      <c r="I42" s="211"/>
    </row>
    <row r="43" spans="1:14" x14ac:dyDescent="0.25">
      <c r="E43" s="211"/>
      <c r="I43" s="211"/>
      <c r="J43" s="211"/>
    </row>
    <row r="44" spans="1:14" x14ac:dyDescent="0.25">
      <c r="E44" s="211"/>
    </row>
  </sheetData>
  <mergeCells count="15">
    <mergeCell ref="G35:H35"/>
    <mergeCell ref="E12:H12"/>
    <mergeCell ref="E13:F13"/>
    <mergeCell ref="G13:H13"/>
    <mergeCell ref="E5:H5"/>
    <mergeCell ref="E6:H6"/>
    <mergeCell ref="G10:H10"/>
    <mergeCell ref="A5:A6"/>
    <mergeCell ref="J12:J13"/>
    <mergeCell ref="I12:I13"/>
    <mergeCell ref="A12:A13"/>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33"/>
  <sheetViews>
    <sheetView workbookViewId="0">
      <selection activeCell="A15" sqref="A15:XFD26"/>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3" ht="12.75" customHeight="1" x14ac:dyDescent="0.25">
      <c r="A1" s="2" t="s">
        <v>97</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275" t="s">
        <v>123</v>
      </c>
      <c r="B3" s="278" t="s">
        <v>652</v>
      </c>
      <c r="C3" s="275"/>
      <c r="D3" s="275"/>
      <c r="E3" s="276"/>
      <c r="F3" s="276"/>
      <c r="G3" s="276"/>
      <c r="H3" s="276"/>
      <c r="I3" s="276"/>
      <c r="J3" s="276"/>
      <c r="K3" s="277" t="s">
        <v>825</v>
      </c>
    </row>
    <row r="4" spans="1:13" ht="12.75" customHeight="1" x14ac:dyDescent="0.25">
      <c r="A4" s="33"/>
      <c r="B4" s="33"/>
      <c r="C4" s="33"/>
      <c r="D4" s="33"/>
      <c r="E4" s="33"/>
      <c r="F4" s="33"/>
      <c r="G4" s="33"/>
      <c r="H4" s="33"/>
      <c r="I4" s="137"/>
      <c r="J4" s="33"/>
      <c r="K4" s="33"/>
    </row>
    <row r="5" spans="1:13" x14ac:dyDescent="0.25">
      <c r="A5" s="346" t="s">
        <v>28</v>
      </c>
      <c r="B5" s="348" t="s">
        <v>130</v>
      </c>
      <c r="C5" s="34"/>
      <c r="D5" s="346" t="s">
        <v>71</v>
      </c>
      <c r="E5" s="350" t="s">
        <v>37</v>
      </c>
      <c r="F5" s="351"/>
      <c r="G5" s="351"/>
      <c r="H5" s="352"/>
      <c r="I5" s="346" t="s">
        <v>31</v>
      </c>
      <c r="J5" s="353" t="s">
        <v>41</v>
      </c>
      <c r="K5" s="354"/>
    </row>
    <row r="6" spans="1:13" x14ac:dyDescent="0.25">
      <c r="A6" s="347"/>
      <c r="B6" s="357"/>
      <c r="C6" s="35"/>
      <c r="D6" s="347"/>
      <c r="E6" s="350" t="s">
        <v>33</v>
      </c>
      <c r="F6" s="351"/>
      <c r="G6" s="351"/>
      <c r="H6" s="352"/>
      <c r="I6" s="347"/>
      <c r="J6" s="355"/>
      <c r="K6" s="356"/>
    </row>
    <row r="7" spans="1:13" x14ac:dyDescent="0.25">
      <c r="A7" s="43"/>
      <c r="B7" s="139"/>
      <c r="C7" s="84"/>
      <c r="D7" s="45"/>
      <c r="E7" s="142"/>
      <c r="F7" s="81"/>
      <c r="G7" s="81"/>
      <c r="H7" s="85"/>
      <c r="I7" s="71"/>
      <c r="J7" s="39"/>
      <c r="K7" s="44"/>
    </row>
    <row r="8" spans="1:13" x14ac:dyDescent="0.25">
      <c r="A8" s="43">
        <v>43432</v>
      </c>
      <c r="B8" s="139" t="s">
        <v>862</v>
      </c>
      <c r="C8" s="84"/>
      <c r="D8" s="45">
        <v>1506</v>
      </c>
      <c r="E8" s="45" t="s">
        <v>863</v>
      </c>
      <c r="F8" s="81"/>
      <c r="G8" s="81"/>
      <c r="H8" s="85"/>
      <c r="I8" s="71">
        <v>5300000</v>
      </c>
      <c r="J8" s="39"/>
      <c r="K8" s="44"/>
      <c r="L8"/>
    </row>
    <row r="9" spans="1:13" ht="12.75" customHeight="1" x14ac:dyDescent="0.25">
      <c r="A9" s="43"/>
      <c r="B9" s="48"/>
      <c r="C9" s="49"/>
      <c r="D9" s="39"/>
      <c r="E9" s="39"/>
      <c r="F9" s="32"/>
      <c r="G9" s="46"/>
      <c r="H9" s="47"/>
      <c r="I9" s="67"/>
      <c r="J9" s="39"/>
      <c r="K9" s="44"/>
    </row>
    <row r="10" spans="1:13" x14ac:dyDescent="0.25">
      <c r="A10" s="50"/>
      <c r="B10" s="51"/>
      <c r="C10" s="51"/>
      <c r="D10" s="51"/>
      <c r="E10" s="51"/>
      <c r="F10" s="51"/>
      <c r="G10" s="344" t="s">
        <v>131</v>
      </c>
      <c r="H10" s="345"/>
      <c r="I10" s="69">
        <f>SUM(I7:I9)</f>
        <v>5300000</v>
      </c>
      <c r="J10" s="52"/>
      <c r="K10" s="53"/>
    </row>
    <row r="11" spans="1:13" ht="12.75" customHeight="1" x14ac:dyDescent="0.25">
      <c r="A11" s="3"/>
      <c r="B11" s="3"/>
      <c r="C11" s="3"/>
      <c r="D11" s="3"/>
      <c r="E11" s="3"/>
      <c r="F11" s="3"/>
      <c r="G11" s="3"/>
      <c r="H11" s="3"/>
      <c r="I11" s="22"/>
      <c r="J11" s="32"/>
      <c r="K11" s="44"/>
    </row>
    <row r="12" spans="1:13" x14ac:dyDescent="0.25">
      <c r="A12" s="346" t="s">
        <v>28</v>
      </c>
      <c r="B12" s="30" t="s">
        <v>38</v>
      </c>
      <c r="C12" s="55" t="s">
        <v>34</v>
      </c>
      <c r="D12" s="54" t="s">
        <v>34</v>
      </c>
      <c r="E12" s="350" t="s">
        <v>40</v>
      </c>
      <c r="F12" s="351"/>
      <c r="G12" s="351"/>
      <c r="H12" s="352"/>
      <c r="I12" s="346" t="s">
        <v>31</v>
      </c>
      <c r="J12" s="346" t="s">
        <v>29</v>
      </c>
      <c r="K12" s="55" t="s">
        <v>56</v>
      </c>
    </row>
    <row r="13" spans="1:13" x14ac:dyDescent="0.25">
      <c r="A13" s="347"/>
      <c r="B13" s="56" t="s">
        <v>39</v>
      </c>
      <c r="C13" s="56" t="s">
        <v>36</v>
      </c>
      <c r="D13" s="56" t="s">
        <v>35</v>
      </c>
      <c r="E13" s="350" t="s">
        <v>33</v>
      </c>
      <c r="F13" s="352"/>
      <c r="G13" s="350" t="s">
        <v>32</v>
      </c>
      <c r="H13" s="352"/>
      <c r="I13" s="347"/>
      <c r="J13" s="347"/>
      <c r="K13" s="56" t="s">
        <v>57</v>
      </c>
    </row>
    <row r="14" spans="1:13" ht="12.75" customHeight="1" x14ac:dyDescent="0.25">
      <c r="A14" s="36"/>
      <c r="B14" s="36"/>
      <c r="C14" s="36"/>
      <c r="D14" s="36"/>
      <c r="E14" s="39"/>
      <c r="F14" s="44"/>
      <c r="G14" s="39"/>
      <c r="H14" s="44"/>
      <c r="I14" s="57"/>
      <c r="J14" s="57"/>
      <c r="K14" s="57"/>
    </row>
    <row r="15" spans="1:13" hidden="1" x14ac:dyDescent="0.25">
      <c r="A15" s="43"/>
      <c r="B15" s="58"/>
      <c r="C15" s="59"/>
      <c r="D15" s="59"/>
      <c r="E15" s="231"/>
      <c r="F15" s="61"/>
      <c r="G15" s="60"/>
      <c r="H15" s="61"/>
      <c r="I15" s="71"/>
      <c r="J15" s="71"/>
      <c r="K15" s="70">
        <f>+I15-J15</f>
        <v>0</v>
      </c>
    </row>
    <row r="16" spans="1:13" hidden="1" x14ac:dyDescent="0.25">
      <c r="A16" s="43">
        <v>43132</v>
      </c>
      <c r="B16" s="303" t="s">
        <v>253</v>
      </c>
      <c r="C16" s="59">
        <v>703</v>
      </c>
      <c r="D16" s="59">
        <v>683</v>
      </c>
      <c r="E16" s="142" t="s">
        <v>234</v>
      </c>
      <c r="F16" s="61"/>
      <c r="G16" s="60" t="s">
        <v>254</v>
      </c>
      <c r="H16" s="61"/>
      <c r="I16" s="71">
        <v>39420000</v>
      </c>
      <c r="J16" s="71">
        <v>39420000</v>
      </c>
      <c r="K16" s="70">
        <f t="shared" ref="K16:K27" si="0">+I16-J16</f>
        <v>0</v>
      </c>
      <c r="M16" s="211"/>
    </row>
    <row r="17" spans="1:13" hidden="1" x14ac:dyDescent="0.25">
      <c r="A17" s="43">
        <v>43151</v>
      </c>
      <c r="B17" s="303" t="s">
        <v>312</v>
      </c>
      <c r="C17" s="59">
        <v>718</v>
      </c>
      <c r="D17" s="59">
        <v>725</v>
      </c>
      <c r="E17" s="39" t="s">
        <v>292</v>
      </c>
      <c r="F17" s="61"/>
      <c r="G17" s="60" t="s">
        <v>254</v>
      </c>
      <c r="H17" s="61"/>
      <c r="I17" s="71">
        <v>39298000</v>
      </c>
      <c r="J17" s="71">
        <v>39298000</v>
      </c>
      <c r="K17" s="70">
        <f t="shared" si="0"/>
        <v>0</v>
      </c>
      <c r="M17" s="211"/>
    </row>
    <row r="18" spans="1:13" hidden="1" x14ac:dyDescent="0.25">
      <c r="A18" s="43">
        <v>43196</v>
      </c>
      <c r="B18" s="303" t="s">
        <v>394</v>
      </c>
      <c r="C18" s="59">
        <v>757</v>
      </c>
      <c r="D18" s="59">
        <v>781</v>
      </c>
      <c r="E18" s="39" t="s">
        <v>395</v>
      </c>
      <c r="F18" s="61"/>
      <c r="G18" s="60" t="s">
        <v>254</v>
      </c>
      <c r="H18" s="61"/>
      <c r="I18" s="71">
        <v>33550000</v>
      </c>
      <c r="J18" s="71">
        <v>33550000</v>
      </c>
      <c r="K18" s="70">
        <f t="shared" si="0"/>
        <v>0</v>
      </c>
      <c r="M18" s="211"/>
    </row>
    <row r="19" spans="1:13" hidden="1" x14ac:dyDescent="0.25">
      <c r="A19" s="43">
        <v>43230</v>
      </c>
      <c r="B19" s="303" t="s">
        <v>450</v>
      </c>
      <c r="C19" s="59">
        <v>774</v>
      </c>
      <c r="D19" s="59">
        <v>824</v>
      </c>
      <c r="E19" s="142" t="s">
        <v>451</v>
      </c>
      <c r="F19" s="61"/>
      <c r="G19" s="60" t="s">
        <v>254</v>
      </c>
      <c r="H19" s="61"/>
      <c r="I19" s="71">
        <v>31727000</v>
      </c>
      <c r="J19" s="71">
        <v>31727000</v>
      </c>
      <c r="K19" s="70">
        <f t="shared" si="0"/>
        <v>0</v>
      </c>
      <c r="M19" s="211"/>
    </row>
    <row r="20" spans="1:13" hidden="1" x14ac:dyDescent="0.25">
      <c r="A20" s="43">
        <v>43242</v>
      </c>
      <c r="B20" s="303" t="s">
        <v>471</v>
      </c>
      <c r="C20" s="59">
        <v>789</v>
      </c>
      <c r="D20" s="59">
        <v>838</v>
      </c>
      <c r="E20" s="142" t="s">
        <v>472</v>
      </c>
      <c r="F20" s="61"/>
      <c r="G20" s="60" t="s">
        <v>254</v>
      </c>
      <c r="H20" s="61"/>
      <c r="I20" s="71">
        <v>36312000</v>
      </c>
      <c r="J20" s="71">
        <v>36312000</v>
      </c>
      <c r="K20" s="70">
        <f t="shared" si="0"/>
        <v>0</v>
      </c>
      <c r="M20" s="211"/>
    </row>
    <row r="21" spans="1:13" hidden="1" x14ac:dyDescent="0.25">
      <c r="A21" s="43">
        <v>43258</v>
      </c>
      <c r="B21" s="303" t="s">
        <v>482</v>
      </c>
      <c r="C21" s="59">
        <v>797</v>
      </c>
      <c r="D21" s="59">
        <v>853</v>
      </c>
      <c r="E21" s="142" t="s">
        <v>484</v>
      </c>
      <c r="F21" s="61"/>
      <c r="G21" s="60" t="s">
        <v>254</v>
      </c>
      <c r="H21" s="61"/>
      <c r="I21" s="214">
        <v>146000</v>
      </c>
      <c r="J21" s="70">
        <v>146000</v>
      </c>
      <c r="K21" s="70">
        <f t="shared" si="0"/>
        <v>0</v>
      </c>
      <c r="M21" s="211"/>
    </row>
    <row r="22" spans="1:13" hidden="1" x14ac:dyDescent="0.25">
      <c r="A22" s="43">
        <v>43258</v>
      </c>
      <c r="B22" s="303" t="s">
        <v>483</v>
      </c>
      <c r="C22" s="59">
        <v>799</v>
      </c>
      <c r="D22" s="59">
        <v>854</v>
      </c>
      <c r="E22" s="142" t="s">
        <v>485</v>
      </c>
      <c r="F22" s="61"/>
      <c r="G22" s="60" t="s">
        <v>254</v>
      </c>
      <c r="H22" s="61"/>
      <c r="I22" s="214">
        <v>35443000</v>
      </c>
      <c r="J22" s="70">
        <v>35443000</v>
      </c>
      <c r="K22" s="70">
        <f t="shared" si="0"/>
        <v>0</v>
      </c>
      <c r="M22" s="211"/>
    </row>
    <row r="23" spans="1:13" hidden="1" x14ac:dyDescent="0.25">
      <c r="A23" s="43">
        <v>43311</v>
      </c>
      <c r="B23" s="303" t="s">
        <v>586</v>
      </c>
      <c r="C23" s="59">
        <v>829</v>
      </c>
      <c r="D23" s="59">
        <v>952</v>
      </c>
      <c r="E23" s="142" t="s">
        <v>587</v>
      </c>
      <c r="F23" s="61"/>
      <c r="G23" s="60" t="s">
        <v>254</v>
      </c>
      <c r="H23" s="61"/>
      <c r="I23" s="214">
        <v>39251000</v>
      </c>
      <c r="J23" s="70">
        <v>39251000</v>
      </c>
      <c r="K23" s="70">
        <f t="shared" si="0"/>
        <v>0</v>
      </c>
      <c r="M23" s="211"/>
    </row>
    <row r="24" spans="1:13" hidden="1" x14ac:dyDescent="0.25">
      <c r="A24" s="43">
        <v>43326</v>
      </c>
      <c r="B24" s="303" t="s">
        <v>650</v>
      </c>
      <c r="C24" s="59">
        <v>861</v>
      </c>
      <c r="D24" s="59">
        <v>989</v>
      </c>
      <c r="E24" s="142" t="s">
        <v>651</v>
      </c>
      <c r="F24" s="61"/>
      <c r="G24" s="60" t="s">
        <v>254</v>
      </c>
      <c r="H24" s="61"/>
      <c r="I24" s="214">
        <v>42694000</v>
      </c>
      <c r="J24" s="70">
        <v>42694000</v>
      </c>
      <c r="K24" s="70">
        <f t="shared" si="0"/>
        <v>0</v>
      </c>
      <c r="M24" s="211"/>
    </row>
    <row r="25" spans="1:13" hidden="1" x14ac:dyDescent="0.25">
      <c r="A25" s="43">
        <v>43350</v>
      </c>
      <c r="B25" s="303" t="s">
        <v>712</v>
      </c>
      <c r="C25" s="59">
        <v>911</v>
      </c>
      <c r="D25" s="59">
        <v>1099</v>
      </c>
      <c r="E25" s="142" t="s">
        <v>713</v>
      </c>
      <c r="F25" s="61"/>
      <c r="G25" s="60" t="s">
        <v>254</v>
      </c>
      <c r="H25" s="61"/>
      <c r="I25" s="214">
        <v>44206000</v>
      </c>
      <c r="J25" s="70">
        <v>44206000</v>
      </c>
      <c r="K25" s="70">
        <f t="shared" si="0"/>
        <v>0</v>
      </c>
      <c r="M25" s="211"/>
    </row>
    <row r="26" spans="1:13" hidden="1" x14ac:dyDescent="0.25">
      <c r="A26" s="43">
        <v>43375</v>
      </c>
      <c r="B26" s="303" t="s">
        <v>771</v>
      </c>
      <c r="C26" s="59">
        <v>1372</v>
      </c>
      <c r="D26" s="59">
        <v>1517</v>
      </c>
      <c r="E26" s="142" t="s">
        <v>753</v>
      </c>
      <c r="F26" s="61"/>
      <c r="G26" s="60" t="s">
        <v>254</v>
      </c>
      <c r="H26" s="61"/>
      <c r="I26" s="214">
        <v>36066000</v>
      </c>
      <c r="J26" s="70">
        <v>36066000</v>
      </c>
      <c r="K26" s="70">
        <f t="shared" si="0"/>
        <v>0</v>
      </c>
      <c r="M26" s="211"/>
    </row>
    <row r="27" spans="1:13" x14ac:dyDescent="0.25">
      <c r="A27" s="43">
        <v>43432</v>
      </c>
      <c r="B27" s="303" t="s">
        <v>861</v>
      </c>
      <c r="C27" s="59">
        <v>1501</v>
      </c>
      <c r="D27" s="59">
        <v>1700</v>
      </c>
      <c r="E27" s="142" t="s">
        <v>468</v>
      </c>
      <c r="F27" s="61"/>
      <c r="G27" s="60" t="s">
        <v>254</v>
      </c>
      <c r="H27" s="61"/>
      <c r="I27" s="214">
        <v>37384000</v>
      </c>
      <c r="J27" s="70">
        <v>0</v>
      </c>
      <c r="K27" s="70">
        <f t="shared" si="0"/>
        <v>37384000</v>
      </c>
      <c r="M27" s="211"/>
    </row>
    <row r="28" spans="1:13" ht="12.75" customHeight="1" x14ac:dyDescent="0.25">
      <c r="A28" s="43"/>
      <c r="B28" s="58"/>
      <c r="C28" s="36"/>
      <c r="D28" s="36"/>
      <c r="E28" s="39"/>
      <c r="F28" s="44"/>
      <c r="G28" s="39"/>
      <c r="H28" s="44"/>
      <c r="J28" s="83"/>
      <c r="K28" s="83"/>
    </row>
    <row r="29" spans="1:13" x14ac:dyDescent="0.25">
      <c r="A29" s="50"/>
      <c r="B29" s="51"/>
      <c r="C29" s="51"/>
      <c r="D29" s="51"/>
      <c r="E29" s="51"/>
      <c r="F29" s="51"/>
      <c r="G29" s="344" t="s">
        <v>131</v>
      </c>
      <c r="H29" s="345"/>
      <c r="I29" s="73">
        <f>SUM(I16:I28)</f>
        <v>415497000</v>
      </c>
      <c r="J29" s="73">
        <f t="shared" ref="J29:K29" si="1">SUM(J16:J28)</f>
        <v>378113000</v>
      </c>
      <c r="K29" s="73">
        <f t="shared" si="1"/>
        <v>37384000</v>
      </c>
    </row>
    <row r="30" spans="1:13" ht="12.75" customHeight="1" x14ac:dyDescent="0.25">
      <c r="A30" s="3"/>
      <c r="B30" s="3"/>
      <c r="C30" s="3"/>
      <c r="D30" s="3"/>
      <c r="E30" s="3"/>
      <c r="F30" s="3"/>
      <c r="G30" s="3"/>
      <c r="H30" s="3"/>
      <c r="I30" s="86"/>
      <c r="J30" s="66"/>
      <c r="K30" s="155"/>
    </row>
    <row r="31" spans="1:13" ht="24.95" customHeight="1" x14ac:dyDescent="0.25">
      <c r="A31" s="284" t="s">
        <v>58</v>
      </c>
      <c r="B31" s="284" t="s">
        <v>132</v>
      </c>
      <c r="C31" s="284" t="s">
        <v>30</v>
      </c>
      <c r="D31" s="285" t="s">
        <v>59</v>
      </c>
      <c r="E31" s="284" t="s">
        <v>40</v>
      </c>
      <c r="F31" s="284" t="s">
        <v>62</v>
      </c>
      <c r="G31" s="284" t="s">
        <v>37</v>
      </c>
      <c r="H31" s="284" t="s">
        <v>60</v>
      </c>
      <c r="I31" s="284" t="s">
        <v>61</v>
      </c>
      <c r="J31" s="284" t="s">
        <v>98</v>
      </c>
      <c r="K31" s="284" t="s">
        <v>68</v>
      </c>
    </row>
    <row r="32" spans="1:13" ht="24.95" customHeight="1" x14ac:dyDescent="0.25">
      <c r="A32" s="291">
        <v>562489000</v>
      </c>
      <c r="B32" s="291"/>
      <c r="C32" s="291">
        <v>0</v>
      </c>
      <c r="D32" s="287">
        <f>+A32+B32-C32</f>
        <v>562489000</v>
      </c>
      <c r="E32" s="287">
        <f>+I29</f>
        <v>415497000</v>
      </c>
      <c r="F32" s="288">
        <f>+E32/D32</f>
        <v>0.73867577854855826</v>
      </c>
      <c r="G32" s="287">
        <f>+I10</f>
        <v>5300000</v>
      </c>
      <c r="H32" s="287">
        <f>+D32-E32-G32</f>
        <v>141692000</v>
      </c>
      <c r="I32" s="287">
        <f>+J29</f>
        <v>378113000</v>
      </c>
      <c r="J32" s="293">
        <f>+I32/D32</f>
        <v>0.67221403440778393</v>
      </c>
      <c r="K32" s="287">
        <f>+K29</f>
        <v>37384000</v>
      </c>
    </row>
    <row r="33" spans="1:11" x14ac:dyDescent="0.25">
      <c r="A33" s="290">
        <v>1</v>
      </c>
      <c r="B33" s="290">
        <v>2</v>
      </c>
      <c r="C33" s="290">
        <v>3</v>
      </c>
      <c r="D33" s="290" t="s">
        <v>42</v>
      </c>
      <c r="E33" s="290">
        <v>5</v>
      </c>
      <c r="F33" s="290" t="s">
        <v>69</v>
      </c>
      <c r="G33" s="290">
        <v>7</v>
      </c>
      <c r="H33" s="290" t="s">
        <v>70</v>
      </c>
      <c r="I33" s="290">
        <v>9</v>
      </c>
      <c r="J33" s="290" t="s">
        <v>99</v>
      </c>
      <c r="K33" s="290" t="s">
        <v>100</v>
      </c>
    </row>
  </sheetData>
  <mergeCells count="15">
    <mergeCell ref="G29:H29"/>
    <mergeCell ref="J5:K6"/>
    <mergeCell ref="E6:H6"/>
    <mergeCell ref="G10:H10"/>
    <mergeCell ref="A12:A13"/>
    <mergeCell ref="E12:H12"/>
    <mergeCell ref="I12:I13"/>
    <mergeCell ref="J12:J13"/>
    <mergeCell ref="E13:F13"/>
    <mergeCell ref="G13:H13"/>
    <mergeCell ref="I5:I6"/>
    <mergeCell ref="A5:A6"/>
    <mergeCell ref="B5:B6"/>
    <mergeCell ref="D5:D6"/>
    <mergeCell ref="E5:H5"/>
  </mergeCells>
  <phoneticPr fontId="4"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1"/>
  <sheetViews>
    <sheetView workbookViewId="0">
      <selection activeCell="A14" sqref="A14:XFD14"/>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149</v>
      </c>
      <c r="B3" s="278" t="s">
        <v>148</v>
      </c>
      <c r="C3" s="275"/>
      <c r="D3" s="275"/>
      <c r="E3" s="276"/>
      <c r="F3" s="276"/>
      <c r="G3" s="276"/>
      <c r="H3" s="276"/>
      <c r="I3" s="276"/>
      <c r="J3" s="276"/>
      <c r="K3" s="277" t="s">
        <v>825</v>
      </c>
    </row>
    <row r="4" spans="1:11" ht="12.75" customHeight="1" x14ac:dyDescent="0.25">
      <c r="A4" s="33"/>
      <c r="B4" s="33"/>
      <c r="C4" s="33"/>
      <c r="D4" s="33"/>
      <c r="E4" s="33"/>
      <c r="F4" s="33"/>
      <c r="G4" s="33"/>
      <c r="H4" s="33"/>
      <c r="I4" s="137"/>
      <c r="J4" s="33"/>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4" t="s">
        <v>131</v>
      </c>
      <c r="H9" s="345"/>
      <c r="I9" s="69">
        <f>SUM(I7:I8)</f>
        <v>0</v>
      </c>
      <c r="J9" s="52"/>
      <c r="K9" s="53"/>
    </row>
    <row r="10" spans="1:11" ht="12.75" customHeight="1" x14ac:dyDescent="0.25">
      <c r="A10" s="3"/>
      <c r="B10" s="3"/>
      <c r="C10" s="3"/>
      <c r="D10" s="3"/>
      <c r="E10" s="3"/>
      <c r="F10" s="3"/>
      <c r="G10" s="3"/>
      <c r="H10" s="3"/>
      <c r="I10" s="22"/>
      <c r="J10" s="32"/>
      <c r="K10" s="44"/>
    </row>
    <row r="11" spans="1:11" x14ac:dyDescent="0.25">
      <c r="A11" s="346" t="s">
        <v>28</v>
      </c>
      <c r="B11" s="30" t="s">
        <v>38</v>
      </c>
      <c r="C11" s="55" t="s">
        <v>34</v>
      </c>
      <c r="D11" s="54" t="s">
        <v>34</v>
      </c>
      <c r="E11" s="350" t="s">
        <v>40</v>
      </c>
      <c r="F11" s="351"/>
      <c r="G11" s="351"/>
      <c r="H11" s="352"/>
      <c r="I11" s="346" t="s">
        <v>31</v>
      </c>
      <c r="J11" s="346" t="s">
        <v>29</v>
      </c>
      <c r="K11" s="55" t="s">
        <v>56</v>
      </c>
    </row>
    <row r="12" spans="1:11" x14ac:dyDescent="0.25">
      <c r="A12" s="347"/>
      <c r="B12" s="56" t="s">
        <v>39</v>
      </c>
      <c r="C12" s="56" t="s">
        <v>36</v>
      </c>
      <c r="D12" s="56" t="s">
        <v>35</v>
      </c>
      <c r="E12" s="350" t="s">
        <v>33</v>
      </c>
      <c r="F12" s="352"/>
      <c r="G12" s="350" t="s">
        <v>32</v>
      </c>
      <c r="H12" s="352"/>
      <c r="I12" s="347"/>
      <c r="J12" s="347"/>
      <c r="K12" s="56" t="s">
        <v>57</v>
      </c>
    </row>
    <row r="13" spans="1:11" ht="12.75" customHeight="1" x14ac:dyDescent="0.25">
      <c r="A13" s="36"/>
      <c r="B13" s="36"/>
      <c r="C13" s="36"/>
      <c r="D13" s="36"/>
      <c r="E13" s="39"/>
      <c r="F13" s="44"/>
      <c r="G13" s="39"/>
      <c r="H13" s="44"/>
      <c r="I13" s="57"/>
      <c r="J13" s="57"/>
      <c r="K13" s="57"/>
    </row>
    <row r="14" spans="1:11" hidden="1" x14ac:dyDescent="0.25">
      <c r="A14" s="43">
        <v>43126</v>
      </c>
      <c r="B14" s="58" t="s">
        <v>202</v>
      </c>
      <c r="C14" s="59">
        <v>485</v>
      </c>
      <c r="D14" s="219">
        <v>517</v>
      </c>
      <c r="E14" s="60" t="s">
        <v>203</v>
      </c>
      <c r="F14" s="61"/>
      <c r="G14" s="60" t="s">
        <v>229</v>
      </c>
      <c r="H14" s="61"/>
      <c r="I14" s="70">
        <v>20000000</v>
      </c>
      <c r="J14" s="70">
        <v>20000000</v>
      </c>
      <c r="K14" s="70">
        <f>+I14-J14</f>
        <v>0</v>
      </c>
    </row>
    <row r="15" spans="1:11" x14ac:dyDescent="0.25">
      <c r="A15" s="43">
        <v>43371</v>
      </c>
      <c r="B15" s="58" t="s">
        <v>202</v>
      </c>
      <c r="C15" s="59">
        <v>1371</v>
      </c>
      <c r="D15" s="219">
        <v>1501</v>
      </c>
      <c r="E15" s="60" t="s">
        <v>750</v>
      </c>
      <c r="F15" s="61"/>
      <c r="G15" s="60" t="s">
        <v>229</v>
      </c>
      <c r="H15" s="61"/>
      <c r="I15" s="70">
        <v>6916667</v>
      </c>
      <c r="J15" s="70">
        <v>2666667</v>
      </c>
      <c r="K15" s="70">
        <f>+I15-J15</f>
        <v>4250000</v>
      </c>
    </row>
    <row r="16" spans="1:11" ht="12.75" customHeight="1" x14ac:dyDescent="0.25">
      <c r="A16" s="43"/>
      <c r="B16" s="58"/>
      <c r="C16" s="36"/>
      <c r="D16" s="36"/>
      <c r="E16" s="39"/>
      <c r="F16" s="44"/>
      <c r="G16" s="39"/>
      <c r="H16" s="44"/>
      <c r="I16" s="83"/>
      <c r="J16" s="83"/>
      <c r="K16" s="83"/>
    </row>
    <row r="17" spans="1:11" x14ac:dyDescent="0.25">
      <c r="A17" s="50"/>
      <c r="B17" s="51"/>
      <c r="C17" s="51"/>
      <c r="D17" s="51"/>
      <c r="E17" s="51"/>
      <c r="F17" s="51"/>
      <c r="G17" s="344" t="s">
        <v>131</v>
      </c>
      <c r="H17" s="345"/>
      <c r="I17" s="73">
        <f>SUM(I14:I16)</f>
        <v>26916667</v>
      </c>
      <c r="J17" s="73">
        <f>SUM(J14:J16)</f>
        <v>22666667</v>
      </c>
      <c r="K17" s="73">
        <f>SUM(K14:K16)</f>
        <v>4250000</v>
      </c>
    </row>
    <row r="18" spans="1:11" ht="12.75" customHeight="1" x14ac:dyDescent="0.25">
      <c r="A18" s="3"/>
      <c r="B18" s="3"/>
      <c r="C18" s="3"/>
      <c r="D18" s="3"/>
      <c r="E18" s="3"/>
      <c r="F18" s="3"/>
      <c r="G18" s="3"/>
      <c r="H18" s="3"/>
      <c r="I18" s="86"/>
      <c r="J18" s="66"/>
      <c r="K18" s="155"/>
    </row>
    <row r="19" spans="1:11" ht="24.95" customHeight="1" x14ac:dyDescent="0.25">
      <c r="A19" s="284" t="s">
        <v>58</v>
      </c>
      <c r="B19" s="284" t="s">
        <v>132</v>
      </c>
      <c r="C19" s="284" t="s">
        <v>30</v>
      </c>
      <c r="D19" s="285" t="s">
        <v>59</v>
      </c>
      <c r="E19" s="284" t="s">
        <v>40</v>
      </c>
      <c r="F19" s="284" t="s">
        <v>62</v>
      </c>
      <c r="G19" s="284" t="s">
        <v>37</v>
      </c>
      <c r="H19" s="284" t="s">
        <v>60</v>
      </c>
      <c r="I19" s="284" t="s">
        <v>61</v>
      </c>
      <c r="J19" s="284" t="s">
        <v>98</v>
      </c>
      <c r="K19" s="284" t="s">
        <v>68</v>
      </c>
    </row>
    <row r="20" spans="1:11" ht="24.95" customHeight="1" x14ac:dyDescent="0.25">
      <c r="A20" s="291">
        <v>27192000</v>
      </c>
      <c r="B20" s="291">
        <v>0</v>
      </c>
      <c r="C20" s="291">
        <v>0</v>
      </c>
      <c r="D20" s="287">
        <f>+A20+B20-C20</f>
        <v>27192000</v>
      </c>
      <c r="E20" s="287">
        <f>+I17</f>
        <v>26916667</v>
      </c>
      <c r="F20" s="288">
        <f>+E20/D20</f>
        <v>0.98987448514268905</v>
      </c>
      <c r="G20" s="287">
        <f>+I9</f>
        <v>0</v>
      </c>
      <c r="H20" s="287">
        <f>+D20-E20-G20</f>
        <v>275333</v>
      </c>
      <c r="I20" s="287">
        <f>+J17</f>
        <v>22666667</v>
      </c>
      <c r="J20" s="293">
        <f>+I20/D20</f>
        <v>0.83357851573992348</v>
      </c>
      <c r="K20" s="287">
        <f>+K17</f>
        <v>4250000</v>
      </c>
    </row>
    <row r="21" spans="1:11" x14ac:dyDescent="0.25">
      <c r="A21" s="290">
        <v>1</v>
      </c>
      <c r="B21" s="290">
        <v>2</v>
      </c>
      <c r="C21" s="290">
        <v>3</v>
      </c>
      <c r="D21" s="290" t="s">
        <v>42</v>
      </c>
      <c r="E21" s="290">
        <v>5</v>
      </c>
      <c r="F21" s="290" t="s">
        <v>69</v>
      </c>
      <c r="G21" s="290">
        <v>7</v>
      </c>
      <c r="H21" s="290" t="s">
        <v>70</v>
      </c>
      <c r="I21" s="290">
        <v>9</v>
      </c>
      <c r="J21" s="290" t="s">
        <v>99</v>
      </c>
      <c r="K21" s="290" t="s">
        <v>100</v>
      </c>
    </row>
  </sheetData>
  <mergeCells count="15">
    <mergeCell ref="G17:H17"/>
    <mergeCell ref="G9:H9"/>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0"/>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157</v>
      </c>
      <c r="B3" s="278" t="s">
        <v>158</v>
      </c>
      <c r="C3" s="275"/>
      <c r="D3" s="275"/>
      <c r="E3" s="276"/>
      <c r="F3" s="276"/>
      <c r="G3" s="276"/>
      <c r="H3" s="276"/>
      <c r="I3" s="276"/>
      <c r="J3" s="276"/>
      <c r="K3" s="277" t="s">
        <v>825</v>
      </c>
    </row>
    <row r="4" spans="1:11" ht="12.75" customHeight="1" x14ac:dyDescent="0.25">
      <c r="A4" s="33"/>
      <c r="B4" s="33"/>
      <c r="C4" s="33"/>
      <c r="D4" s="33"/>
      <c r="E4" s="33"/>
      <c r="F4" s="33"/>
      <c r="G4" s="33"/>
      <c r="H4" s="33"/>
      <c r="I4" s="137"/>
      <c r="J4" s="33"/>
      <c r="K4" s="33"/>
    </row>
    <row r="5" spans="1:11" x14ac:dyDescent="0.25">
      <c r="A5" s="346" t="s">
        <v>28</v>
      </c>
      <c r="B5" s="348" t="s">
        <v>130</v>
      </c>
      <c r="C5" s="263"/>
      <c r="D5" s="346" t="s">
        <v>71</v>
      </c>
      <c r="E5" s="350" t="s">
        <v>37</v>
      </c>
      <c r="F5" s="351"/>
      <c r="G5" s="351"/>
      <c r="H5" s="352"/>
      <c r="I5" s="346" t="s">
        <v>31</v>
      </c>
      <c r="J5" s="353" t="s">
        <v>41</v>
      </c>
      <c r="K5" s="354"/>
    </row>
    <row r="6" spans="1:11" x14ac:dyDescent="0.25">
      <c r="A6" s="347"/>
      <c r="B6" s="357"/>
      <c r="C6" s="264"/>
      <c r="D6" s="347"/>
      <c r="E6" s="350" t="s">
        <v>33</v>
      </c>
      <c r="F6" s="351"/>
      <c r="G6" s="351"/>
      <c r="H6" s="352"/>
      <c r="I6" s="347"/>
      <c r="J6" s="355"/>
      <c r="K6" s="356"/>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4" t="s">
        <v>131</v>
      </c>
      <c r="H9" s="345"/>
      <c r="I9" s="69">
        <f>SUM(I7:I8)</f>
        <v>0</v>
      </c>
      <c r="J9" s="52"/>
      <c r="K9" s="53"/>
    </row>
    <row r="10" spans="1:11" ht="12.75" customHeight="1" x14ac:dyDescent="0.25">
      <c r="A10" s="3"/>
      <c r="B10" s="3"/>
      <c r="C10" s="3"/>
      <c r="D10" s="3"/>
      <c r="E10" s="3"/>
      <c r="F10" s="3"/>
      <c r="G10" s="3"/>
      <c r="H10" s="3"/>
      <c r="I10" s="22"/>
      <c r="J10" s="32"/>
      <c r="K10" s="44"/>
    </row>
    <row r="11" spans="1:11" x14ac:dyDescent="0.25">
      <c r="A11" s="346" t="s">
        <v>28</v>
      </c>
      <c r="B11" s="30" t="s">
        <v>38</v>
      </c>
      <c r="C11" s="261" t="s">
        <v>34</v>
      </c>
      <c r="D11" s="54" t="s">
        <v>34</v>
      </c>
      <c r="E11" s="350" t="s">
        <v>40</v>
      </c>
      <c r="F11" s="351"/>
      <c r="G11" s="351"/>
      <c r="H11" s="352"/>
      <c r="I11" s="346" t="s">
        <v>31</v>
      </c>
      <c r="J11" s="346" t="s">
        <v>29</v>
      </c>
      <c r="K11" s="261" t="s">
        <v>56</v>
      </c>
    </row>
    <row r="12" spans="1:11" x14ac:dyDescent="0.25">
      <c r="A12" s="347"/>
      <c r="B12" s="262" t="s">
        <v>39</v>
      </c>
      <c r="C12" s="262" t="s">
        <v>36</v>
      </c>
      <c r="D12" s="262" t="s">
        <v>35</v>
      </c>
      <c r="E12" s="350" t="s">
        <v>33</v>
      </c>
      <c r="F12" s="352"/>
      <c r="G12" s="350" t="s">
        <v>32</v>
      </c>
      <c r="H12" s="352"/>
      <c r="I12" s="347"/>
      <c r="J12" s="347"/>
      <c r="K12" s="262"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60"/>
      <c r="F14" s="61"/>
      <c r="G14" s="60"/>
      <c r="H14" s="61"/>
      <c r="I14" s="70"/>
      <c r="J14" s="70"/>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4" t="s">
        <v>131</v>
      </c>
      <c r="H16" s="345"/>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4" t="s">
        <v>58</v>
      </c>
      <c r="B18" s="284" t="s">
        <v>132</v>
      </c>
      <c r="C18" s="284" t="s">
        <v>30</v>
      </c>
      <c r="D18" s="285" t="s">
        <v>59</v>
      </c>
      <c r="E18" s="284" t="s">
        <v>40</v>
      </c>
      <c r="F18" s="284" t="s">
        <v>62</v>
      </c>
      <c r="G18" s="284" t="s">
        <v>37</v>
      </c>
      <c r="H18" s="284" t="s">
        <v>60</v>
      </c>
      <c r="I18" s="284" t="s">
        <v>61</v>
      </c>
      <c r="J18" s="284" t="s">
        <v>98</v>
      </c>
      <c r="K18" s="284" t="s">
        <v>68</v>
      </c>
    </row>
    <row r="19" spans="1:11" ht="24.95" customHeight="1" x14ac:dyDescent="0.25">
      <c r="A19" s="291">
        <v>249391000</v>
      </c>
      <c r="B19" s="291">
        <v>0</v>
      </c>
      <c r="C19" s="291">
        <v>0</v>
      </c>
      <c r="D19" s="287">
        <f>+A19+B19-C19</f>
        <v>249391000</v>
      </c>
      <c r="E19" s="287">
        <f>+I16</f>
        <v>0</v>
      </c>
      <c r="F19" s="288">
        <f>+E19/D19</f>
        <v>0</v>
      </c>
      <c r="G19" s="287">
        <f>+I9</f>
        <v>0</v>
      </c>
      <c r="H19" s="287">
        <f>+D19-E19-G19</f>
        <v>249391000</v>
      </c>
      <c r="I19" s="287">
        <f>+J16</f>
        <v>0</v>
      </c>
      <c r="J19" s="293">
        <f>+I19/D19</f>
        <v>0</v>
      </c>
      <c r="K19" s="287">
        <f>+K16</f>
        <v>0</v>
      </c>
    </row>
    <row r="20" spans="1:11" x14ac:dyDescent="0.25">
      <c r="A20" s="290">
        <v>1</v>
      </c>
      <c r="B20" s="290">
        <v>2</v>
      </c>
      <c r="C20" s="290">
        <v>3</v>
      </c>
      <c r="D20" s="290" t="s">
        <v>42</v>
      </c>
      <c r="E20" s="290">
        <v>5</v>
      </c>
      <c r="F20" s="290" t="s">
        <v>69</v>
      </c>
      <c r="G20" s="290">
        <v>7</v>
      </c>
      <c r="H20" s="290" t="s">
        <v>70</v>
      </c>
      <c r="I20" s="290">
        <v>9</v>
      </c>
      <c r="J20" s="290" t="s">
        <v>99</v>
      </c>
      <c r="K20" s="290" t="s">
        <v>100</v>
      </c>
    </row>
  </sheetData>
  <mergeCells count="15">
    <mergeCell ref="G16:H16"/>
    <mergeCell ref="G9:H9"/>
    <mergeCell ref="A11:A12"/>
    <mergeCell ref="E11:H11"/>
    <mergeCell ref="I11:I12"/>
    <mergeCell ref="J11:J12"/>
    <mergeCell ref="E12:F12"/>
    <mergeCell ref="G12:H12"/>
    <mergeCell ref="A5:A6"/>
    <mergeCell ref="B5:B6"/>
    <mergeCell ref="D5:D6"/>
    <mergeCell ref="E5:H5"/>
    <mergeCell ref="I5:I6"/>
    <mergeCell ref="J5:K6"/>
    <mergeCell ref="E6: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9"/>
  <sheetViews>
    <sheetView topLeftCell="A13" zoomScaleNormal="100" workbookViewId="0">
      <selection activeCell="I8" sqref="I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2"/>
      <c r="B2" s="2"/>
      <c r="C2" s="2"/>
      <c r="D2" s="2"/>
      <c r="E2" s="3"/>
      <c r="F2" s="2"/>
      <c r="G2" s="3"/>
      <c r="H2" s="3"/>
      <c r="I2" s="3"/>
      <c r="J2" s="3"/>
      <c r="K2" s="4"/>
    </row>
    <row r="3" spans="1:11" ht="15" customHeight="1" x14ac:dyDescent="0.25">
      <c r="A3" s="275" t="s">
        <v>122</v>
      </c>
      <c r="B3" s="278" t="s">
        <v>64</v>
      </c>
      <c r="C3" s="275"/>
      <c r="D3" s="275"/>
      <c r="E3" s="276"/>
      <c r="F3" s="276"/>
      <c r="G3" s="276"/>
      <c r="H3" s="276"/>
      <c r="I3" s="276"/>
      <c r="J3" s="276"/>
      <c r="K3" s="277" t="s">
        <v>825</v>
      </c>
    </row>
    <row r="4" spans="1:11" ht="12.75" customHeight="1" x14ac:dyDescent="0.25">
      <c r="A4" s="33"/>
      <c r="B4" s="33"/>
      <c r="C4" s="33"/>
      <c r="D4" s="33"/>
      <c r="E4" s="33"/>
      <c r="F4" s="33"/>
      <c r="G4" s="146"/>
      <c r="H4" s="33"/>
      <c r="I4" s="137"/>
      <c r="J4" s="33"/>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30"/>
      <c r="B7" s="37"/>
      <c r="C7" s="38"/>
      <c r="D7" s="57"/>
      <c r="E7" s="37"/>
      <c r="F7" s="40"/>
      <c r="G7" s="41"/>
      <c r="H7" s="42"/>
      <c r="I7" s="147"/>
      <c r="J7" s="37"/>
      <c r="K7" s="38"/>
    </row>
    <row r="8" spans="1:11" ht="12.75" customHeight="1" x14ac:dyDescent="0.25">
      <c r="A8" s="43">
        <v>43431</v>
      </c>
      <c r="B8" s="39" t="s">
        <v>810</v>
      </c>
      <c r="C8" s="44"/>
      <c r="D8" s="114">
        <v>1505</v>
      </c>
      <c r="E8" s="39" t="s">
        <v>866</v>
      </c>
      <c r="F8" s="32"/>
      <c r="G8" s="46"/>
      <c r="H8" s="47"/>
      <c r="I8" s="268">
        <v>814051</v>
      </c>
      <c r="J8" s="39"/>
      <c r="K8" s="44"/>
    </row>
    <row r="9" spans="1:11" ht="12.75" customHeight="1" x14ac:dyDescent="0.25">
      <c r="A9" s="43"/>
      <c r="B9" s="39"/>
      <c r="C9" s="44"/>
      <c r="D9" s="114"/>
      <c r="E9" s="39"/>
      <c r="F9" s="32"/>
      <c r="G9" s="46"/>
      <c r="H9" s="47"/>
      <c r="I9" s="268"/>
      <c r="J9" s="39"/>
      <c r="K9" s="44"/>
    </row>
    <row r="10" spans="1:11" ht="12.75" customHeight="1" x14ac:dyDescent="0.25">
      <c r="A10" s="43"/>
      <c r="B10" s="39"/>
      <c r="C10" s="44"/>
      <c r="D10" s="114"/>
      <c r="E10" s="39"/>
      <c r="F10" s="32"/>
      <c r="G10" s="46"/>
      <c r="H10" s="47"/>
      <c r="I10" s="268"/>
      <c r="J10" s="39"/>
      <c r="K10" s="44"/>
    </row>
    <row r="11" spans="1:11" ht="12.75" customHeight="1" x14ac:dyDescent="0.25">
      <c r="A11" s="43"/>
      <c r="B11" s="48"/>
      <c r="C11" s="49"/>
      <c r="D11" s="64"/>
      <c r="E11" s="48"/>
      <c r="F11" s="32"/>
      <c r="G11" s="46"/>
      <c r="H11" s="47"/>
      <c r="I11" s="47"/>
      <c r="J11" s="39"/>
      <c r="K11" s="44"/>
    </row>
    <row r="12" spans="1:11" x14ac:dyDescent="0.25">
      <c r="A12" s="50"/>
      <c r="B12" s="51"/>
      <c r="C12" s="51"/>
      <c r="D12" s="51"/>
      <c r="E12" s="51"/>
      <c r="F12" s="51"/>
      <c r="G12" s="344" t="s">
        <v>131</v>
      </c>
      <c r="H12" s="345"/>
      <c r="I12" s="69">
        <f>SUM(I7:I11)</f>
        <v>814051</v>
      </c>
      <c r="J12" s="52"/>
      <c r="K12" s="53"/>
    </row>
    <row r="13" spans="1:11" x14ac:dyDescent="0.25">
      <c r="A13" s="50"/>
      <c r="B13" s="51"/>
      <c r="C13" s="51"/>
      <c r="D13" s="51"/>
      <c r="E13" s="51"/>
      <c r="F13" s="51"/>
      <c r="G13" s="129"/>
      <c r="H13" s="129"/>
      <c r="I13" s="145"/>
      <c r="J13" s="86"/>
      <c r="K13" s="148"/>
    </row>
    <row r="14" spans="1:11" x14ac:dyDescent="0.25">
      <c r="A14" s="346" t="s">
        <v>28</v>
      </c>
      <c r="B14" s="30" t="s">
        <v>38</v>
      </c>
      <c r="C14" s="55" t="s">
        <v>34</v>
      </c>
      <c r="D14" s="54" t="s">
        <v>34</v>
      </c>
      <c r="E14" s="350" t="s">
        <v>40</v>
      </c>
      <c r="F14" s="351"/>
      <c r="G14" s="351"/>
      <c r="H14" s="352"/>
      <c r="I14" s="346" t="s">
        <v>31</v>
      </c>
      <c r="J14" s="346" t="s">
        <v>29</v>
      </c>
      <c r="K14" s="55" t="s">
        <v>56</v>
      </c>
    </row>
    <row r="15" spans="1:11" x14ac:dyDescent="0.25">
      <c r="A15" s="347"/>
      <c r="B15" s="56" t="s">
        <v>39</v>
      </c>
      <c r="C15" s="56" t="s">
        <v>36</v>
      </c>
      <c r="D15" s="56" t="s">
        <v>35</v>
      </c>
      <c r="E15" s="350" t="s">
        <v>33</v>
      </c>
      <c r="F15" s="352"/>
      <c r="G15" s="350" t="s">
        <v>32</v>
      </c>
      <c r="H15" s="352"/>
      <c r="I15" s="347"/>
      <c r="J15" s="347"/>
      <c r="K15" s="56" t="s">
        <v>57</v>
      </c>
    </row>
    <row r="16" spans="1:11" x14ac:dyDescent="0.25">
      <c r="A16" s="43">
        <v>43122</v>
      </c>
      <c r="B16" s="58" t="s">
        <v>196</v>
      </c>
      <c r="C16" s="59">
        <v>454</v>
      </c>
      <c r="D16" s="59">
        <v>385</v>
      </c>
      <c r="E16" s="39" t="s">
        <v>197</v>
      </c>
      <c r="F16" s="61"/>
      <c r="G16" s="60" t="s">
        <v>227</v>
      </c>
      <c r="H16" s="61"/>
      <c r="I16" s="149">
        <v>454053997</v>
      </c>
      <c r="J16" s="149">
        <v>454053997</v>
      </c>
      <c r="K16" s="70">
        <v>0</v>
      </c>
    </row>
    <row r="17" spans="1:11" x14ac:dyDescent="0.25">
      <c r="A17" s="43">
        <v>43125</v>
      </c>
      <c r="B17" s="58" t="s">
        <v>200</v>
      </c>
      <c r="C17" s="59">
        <v>519</v>
      </c>
      <c r="D17" s="59">
        <v>488</v>
      </c>
      <c r="E17" s="60" t="s">
        <v>201</v>
      </c>
      <c r="F17" s="61"/>
      <c r="G17" s="60" t="s">
        <v>227</v>
      </c>
      <c r="H17" s="61"/>
      <c r="I17" s="149">
        <v>1689191</v>
      </c>
      <c r="J17" s="149">
        <v>1689191</v>
      </c>
      <c r="K17" s="70">
        <v>0</v>
      </c>
    </row>
    <row r="18" spans="1:11" x14ac:dyDescent="0.25">
      <c r="A18" s="43">
        <v>43144</v>
      </c>
      <c r="B18" s="58" t="s">
        <v>251</v>
      </c>
      <c r="C18" s="59">
        <v>714</v>
      </c>
      <c r="D18" s="59">
        <v>691</v>
      </c>
      <c r="E18" t="s">
        <v>252</v>
      </c>
      <c r="F18" s="61"/>
      <c r="G18" s="60" t="s">
        <v>227</v>
      </c>
      <c r="H18" s="61"/>
      <c r="I18" s="149">
        <v>1249896388</v>
      </c>
      <c r="J18" s="149">
        <v>1249896388</v>
      </c>
      <c r="K18" s="70">
        <f t="shared" ref="K18:K47" si="0">+I18-J18</f>
        <v>0</v>
      </c>
    </row>
    <row r="19" spans="1:11" x14ac:dyDescent="0.25">
      <c r="A19" s="43">
        <v>43147</v>
      </c>
      <c r="B19" s="58" t="s">
        <v>259</v>
      </c>
      <c r="C19" s="59">
        <v>724</v>
      </c>
      <c r="D19" s="219">
        <v>718</v>
      </c>
      <c r="E19" s="60" t="s">
        <v>258</v>
      </c>
      <c r="F19" s="61"/>
      <c r="G19" s="60" t="s">
        <v>227</v>
      </c>
      <c r="H19" s="61"/>
      <c r="I19" s="70">
        <v>4315485</v>
      </c>
      <c r="J19" s="70">
        <v>4315485</v>
      </c>
      <c r="K19" s="70">
        <f t="shared" si="0"/>
        <v>0</v>
      </c>
    </row>
    <row r="20" spans="1:11" x14ac:dyDescent="0.25">
      <c r="A20" s="43">
        <v>43151</v>
      </c>
      <c r="B20" s="58" t="s">
        <v>293</v>
      </c>
      <c r="C20" s="59">
        <v>725</v>
      </c>
      <c r="D20" s="219">
        <v>724</v>
      </c>
      <c r="E20" s="60" t="s">
        <v>294</v>
      </c>
      <c r="F20" s="61"/>
      <c r="G20" s="60" t="s">
        <v>227</v>
      </c>
      <c r="H20" s="61"/>
      <c r="I20" s="70">
        <v>2007400</v>
      </c>
      <c r="J20" s="70">
        <v>2007400</v>
      </c>
      <c r="K20" s="70">
        <f t="shared" si="0"/>
        <v>0</v>
      </c>
    </row>
    <row r="21" spans="1:11" x14ac:dyDescent="0.25">
      <c r="A21" s="43">
        <v>43166</v>
      </c>
      <c r="B21" s="58" t="s">
        <v>338</v>
      </c>
      <c r="C21" s="59">
        <v>736</v>
      </c>
      <c r="D21" s="219">
        <v>748</v>
      </c>
      <c r="E21" s="60" t="s">
        <v>339</v>
      </c>
      <c r="F21" s="61"/>
      <c r="G21" s="60" t="s">
        <v>227</v>
      </c>
      <c r="H21" s="61"/>
      <c r="I21" s="70">
        <v>1187871034</v>
      </c>
      <c r="J21" s="70">
        <v>1187871034</v>
      </c>
      <c r="K21" s="70">
        <f t="shared" si="0"/>
        <v>0</v>
      </c>
    </row>
    <row r="22" spans="1:11" x14ac:dyDescent="0.25">
      <c r="A22" s="43">
        <v>43167</v>
      </c>
      <c r="B22" s="58" t="s">
        <v>340</v>
      </c>
      <c r="C22" s="59">
        <v>739</v>
      </c>
      <c r="D22" s="219">
        <v>750</v>
      </c>
      <c r="E22" s="60" t="s">
        <v>341</v>
      </c>
      <c r="F22" s="61"/>
      <c r="G22" s="60" t="s">
        <v>227</v>
      </c>
      <c r="H22" s="61"/>
      <c r="I22" s="70">
        <v>7696100</v>
      </c>
      <c r="J22" s="70">
        <v>7696100</v>
      </c>
      <c r="K22" s="70">
        <f t="shared" si="0"/>
        <v>0</v>
      </c>
    </row>
    <row r="23" spans="1:11" x14ac:dyDescent="0.25">
      <c r="A23" s="43">
        <v>43175</v>
      </c>
      <c r="B23" s="58" t="s">
        <v>357</v>
      </c>
      <c r="C23" s="59">
        <v>747</v>
      </c>
      <c r="D23" s="219">
        <v>762</v>
      </c>
      <c r="E23" s="60" t="s">
        <v>358</v>
      </c>
      <c r="F23" s="61"/>
      <c r="G23" s="60" t="s">
        <v>227</v>
      </c>
      <c r="H23" s="61"/>
      <c r="I23" s="70">
        <v>1885246</v>
      </c>
      <c r="J23" s="70">
        <v>1885246</v>
      </c>
      <c r="K23" s="70">
        <f t="shared" si="0"/>
        <v>0</v>
      </c>
    </row>
    <row r="24" spans="1:11" x14ac:dyDescent="0.25">
      <c r="A24" s="43">
        <v>43199</v>
      </c>
      <c r="B24" s="58" t="s">
        <v>392</v>
      </c>
      <c r="C24" s="59">
        <v>762</v>
      </c>
      <c r="D24" s="219">
        <v>783</v>
      </c>
      <c r="E24" s="60" t="s">
        <v>393</v>
      </c>
      <c r="F24" s="61"/>
      <c r="G24" s="60" t="s">
        <v>227</v>
      </c>
      <c r="H24" s="61"/>
      <c r="I24" s="70">
        <v>1172062892</v>
      </c>
      <c r="J24" s="70">
        <v>1172062892</v>
      </c>
      <c r="K24" s="70">
        <f t="shared" si="0"/>
        <v>0</v>
      </c>
    </row>
    <row r="25" spans="1:11" x14ac:dyDescent="0.25">
      <c r="A25" s="43">
        <v>43207</v>
      </c>
      <c r="B25" s="58" t="s">
        <v>410</v>
      </c>
      <c r="C25" s="59">
        <v>766</v>
      </c>
      <c r="D25" s="219">
        <v>794</v>
      </c>
      <c r="E25" s="60" t="s">
        <v>411</v>
      </c>
      <c r="F25" s="61"/>
      <c r="G25" s="60" t="s">
        <v>227</v>
      </c>
      <c r="H25" s="61"/>
      <c r="I25" s="70">
        <v>1780972</v>
      </c>
      <c r="J25" s="70">
        <v>1780972</v>
      </c>
      <c r="K25" s="70">
        <f t="shared" si="0"/>
        <v>0</v>
      </c>
    </row>
    <row r="26" spans="1:11" x14ac:dyDescent="0.25">
      <c r="A26" s="43">
        <v>43213</v>
      </c>
      <c r="B26" s="58" t="s">
        <v>426</v>
      </c>
      <c r="C26" s="59">
        <v>771</v>
      </c>
      <c r="D26" s="219">
        <v>804</v>
      </c>
      <c r="E26" s="60" t="s">
        <v>427</v>
      </c>
      <c r="F26" s="61"/>
      <c r="G26" s="318" t="s">
        <v>428</v>
      </c>
      <c r="H26" s="61"/>
      <c r="I26" s="70">
        <v>746502</v>
      </c>
      <c r="J26" s="70">
        <v>746502</v>
      </c>
      <c r="K26" s="70">
        <f t="shared" si="0"/>
        <v>0</v>
      </c>
    </row>
    <row r="27" spans="1:11" x14ac:dyDescent="0.25">
      <c r="A27" s="43">
        <v>43229</v>
      </c>
      <c r="B27" s="58" t="s">
        <v>452</v>
      </c>
      <c r="C27" s="59">
        <v>777</v>
      </c>
      <c r="D27" s="219">
        <v>821</v>
      </c>
      <c r="E27" s="60" t="s">
        <v>453</v>
      </c>
      <c r="F27" s="61"/>
      <c r="G27" s="60" t="s">
        <v>227</v>
      </c>
      <c r="H27" s="61"/>
      <c r="I27" s="70">
        <v>1132097055</v>
      </c>
      <c r="J27" s="70">
        <v>1132097055</v>
      </c>
      <c r="K27" s="70">
        <f t="shared" si="0"/>
        <v>0</v>
      </c>
    </row>
    <row r="28" spans="1:11" x14ac:dyDescent="0.25">
      <c r="A28" s="43">
        <v>43241</v>
      </c>
      <c r="B28" s="58" t="s">
        <v>464</v>
      </c>
      <c r="C28" s="59">
        <v>784</v>
      </c>
      <c r="D28" s="219">
        <v>832</v>
      </c>
      <c r="E28" s="60" t="s">
        <v>465</v>
      </c>
      <c r="F28" s="61"/>
      <c r="G28" s="60" t="s">
        <v>227</v>
      </c>
      <c r="H28" s="61"/>
      <c r="I28" s="70">
        <v>5772325</v>
      </c>
      <c r="J28" s="70">
        <v>5772325</v>
      </c>
      <c r="K28" s="70">
        <f t="shared" si="0"/>
        <v>0</v>
      </c>
    </row>
    <row r="29" spans="1:11" x14ac:dyDescent="0.25">
      <c r="A29" s="43">
        <v>43259</v>
      </c>
      <c r="B29" s="58" t="s">
        <v>486</v>
      </c>
      <c r="C29" s="59">
        <v>805</v>
      </c>
      <c r="D29" s="219">
        <v>855</v>
      </c>
      <c r="E29" s="60" t="s">
        <v>487</v>
      </c>
      <c r="F29" s="61"/>
      <c r="G29" s="60" t="s">
        <v>227</v>
      </c>
      <c r="H29" s="61"/>
      <c r="I29" s="70">
        <v>1151903372</v>
      </c>
      <c r="J29" s="70">
        <v>1151903372</v>
      </c>
      <c r="K29" s="70">
        <f t="shared" si="0"/>
        <v>0</v>
      </c>
    </row>
    <row r="30" spans="1:11" x14ac:dyDescent="0.25">
      <c r="A30" s="43">
        <v>43284</v>
      </c>
      <c r="B30" s="58" t="s">
        <v>532</v>
      </c>
      <c r="C30" s="59">
        <v>811</v>
      </c>
      <c r="D30" s="219">
        <v>902</v>
      </c>
      <c r="E30" s="60" t="s">
        <v>533</v>
      </c>
      <c r="F30" s="61"/>
      <c r="G30" t="s">
        <v>534</v>
      </c>
      <c r="H30" s="61"/>
      <c r="I30" s="70">
        <v>1887619</v>
      </c>
      <c r="J30" s="70">
        <v>1887619</v>
      </c>
      <c r="K30" s="70">
        <f t="shared" si="0"/>
        <v>0</v>
      </c>
    </row>
    <row r="31" spans="1:11" x14ac:dyDescent="0.25">
      <c r="A31" s="43">
        <v>43292</v>
      </c>
      <c r="B31" s="58" t="s">
        <v>545</v>
      </c>
      <c r="C31" s="59">
        <v>833</v>
      </c>
      <c r="D31" s="219">
        <v>911</v>
      </c>
      <c r="E31" s="60" t="s">
        <v>546</v>
      </c>
      <c r="F31" s="61"/>
      <c r="G31" s="60" t="s">
        <v>227</v>
      </c>
      <c r="H31" s="61"/>
      <c r="I31" s="70">
        <v>1595904639</v>
      </c>
      <c r="J31" s="70">
        <v>1595904639</v>
      </c>
      <c r="K31" s="70">
        <f t="shared" si="0"/>
        <v>0</v>
      </c>
    </row>
    <row r="32" spans="1:11" x14ac:dyDescent="0.25">
      <c r="A32" s="43">
        <v>43299</v>
      </c>
      <c r="B32" s="58" t="s">
        <v>554</v>
      </c>
      <c r="C32" s="59">
        <v>843</v>
      </c>
      <c r="D32" s="219">
        <v>925</v>
      </c>
      <c r="E32" t="s">
        <v>555</v>
      </c>
      <c r="F32" s="61"/>
      <c r="G32" s="60" t="s">
        <v>227</v>
      </c>
      <c r="H32" s="61"/>
      <c r="I32" s="70">
        <v>16961137</v>
      </c>
      <c r="J32" s="70">
        <v>16961137</v>
      </c>
      <c r="K32" s="70">
        <f t="shared" si="0"/>
        <v>0</v>
      </c>
    </row>
    <row r="33" spans="1:11" x14ac:dyDescent="0.25">
      <c r="A33" s="43">
        <v>43322</v>
      </c>
      <c r="B33" s="58" t="s">
        <v>646</v>
      </c>
      <c r="C33" s="59">
        <v>863</v>
      </c>
      <c r="D33" s="219">
        <v>985</v>
      </c>
      <c r="E33" s="60" t="s">
        <v>647</v>
      </c>
      <c r="F33" s="61"/>
      <c r="G33" s="60" t="s">
        <v>227</v>
      </c>
      <c r="H33" s="61"/>
      <c r="I33" s="70">
        <v>1132265609</v>
      </c>
      <c r="J33" s="70">
        <v>1132265609</v>
      </c>
      <c r="K33" s="70">
        <f t="shared" si="0"/>
        <v>0</v>
      </c>
    </row>
    <row r="34" spans="1:11" x14ac:dyDescent="0.25">
      <c r="A34" s="43">
        <v>43327</v>
      </c>
      <c r="B34" s="58" t="s">
        <v>648</v>
      </c>
      <c r="C34" s="59">
        <v>817</v>
      </c>
      <c r="D34" s="219">
        <v>997</v>
      </c>
      <c r="E34" s="60" t="s">
        <v>649</v>
      </c>
      <c r="F34" s="61"/>
      <c r="G34" s="318" t="s">
        <v>534</v>
      </c>
      <c r="H34" s="61"/>
      <c r="I34" s="70">
        <v>4373500</v>
      </c>
      <c r="J34" s="70">
        <v>4373500</v>
      </c>
      <c r="K34" s="70">
        <f t="shared" si="0"/>
        <v>0</v>
      </c>
    </row>
    <row r="35" spans="1:11" x14ac:dyDescent="0.25">
      <c r="A35" s="43">
        <v>43334</v>
      </c>
      <c r="B35" s="58" t="s">
        <v>677</v>
      </c>
      <c r="C35" s="59">
        <v>875</v>
      </c>
      <c r="D35" s="219">
        <v>1014</v>
      </c>
      <c r="E35" s="60" t="s">
        <v>678</v>
      </c>
      <c r="F35" s="61"/>
      <c r="G35" s="318" t="s">
        <v>227</v>
      </c>
      <c r="H35" s="61"/>
      <c r="I35" s="70">
        <v>17793852</v>
      </c>
      <c r="J35" s="70">
        <v>17793852</v>
      </c>
      <c r="K35" s="70">
        <f t="shared" si="0"/>
        <v>0</v>
      </c>
    </row>
    <row r="36" spans="1:11" x14ac:dyDescent="0.25">
      <c r="A36" s="43">
        <v>43340</v>
      </c>
      <c r="B36" s="58" t="s">
        <v>691</v>
      </c>
      <c r="C36" s="59">
        <v>893</v>
      </c>
      <c r="D36" s="219">
        <v>1030</v>
      </c>
      <c r="E36" s="60" t="s">
        <v>692</v>
      </c>
      <c r="F36" s="61"/>
      <c r="G36" s="318" t="s">
        <v>534</v>
      </c>
      <c r="H36" s="61"/>
      <c r="I36" s="70">
        <v>1866926</v>
      </c>
      <c r="J36" s="70">
        <v>1866926</v>
      </c>
      <c r="K36" s="70">
        <f t="shared" si="0"/>
        <v>0</v>
      </c>
    </row>
    <row r="37" spans="1:11" x14ac:dyDescent="0.25">
      <c r="A37" s="43">
        <v>43349</v>
      </c>
      <c r="B37" s="58" t="s">
        <v>714</v>
      </c>
      <c r="C37" s="59">
        <v>955</v>
      </c>
      <c r="D37" s="219">
        <v>1080</v>
      </c>
      <c r="E37" s="60" t="s">
        <v>715</v>
      </c>
      <c r="F37" s="61"/>
      <c r="G37" s="318" t="s">
        <v>227</v>
      </c>
      <c r="H37" s="61"/>
      <c r="I37" s="70">
        <v>1118807675</v>
      </c>
      <c r="J37" s="70">
        <v>1118807675</v>
      </c>
      <c r="K37" s="70">
        <f t="shared" si="0"/>
        <v>0</v>
      </c>
    </row>
    <row r="38" spans="1:11" x14ac:dyDescent="0.25">
      <c r="A38" s="43">
        <v>43349</v>
      </c>
      <c r="B38" s="58" t="s">
        <v>716</v>
      </c>
      <c r="C38" s="59">
        <v>956</v>
      </c>
      <c r="D38" s="219">
        <v>1082</v>
      </c>
      <c r="E38" s="60" t="s">
        <v>717</v>
      </c>
      <c r="F38" s="61"/>
      <c r="G38" s="318" t="s">
        <v>227</v>
      </c>
      <c r="H38" s="61"/>
      <c r="I38" s="70">
        <v>1964300</v>
      </c>
      <c r="J38" s="70">
        <v>1964300</v>
      </c>
      <c r="K38" s="70">
        <f t="shared" si="0"/>
        <v>0</v>
      </c>
    </row>
    <row r="39" spans="1:11" x14ac:dyDescent="0.25">
      <c r="A39" s="43">
        <v>43362</v>
      </c>
      <c r="B39" s="58" t="s">
        <v>734</v>
      </c>
      <c r="C39" s="59">
        <v>1324</v>
      </c>
      <c r="D39" s="219">
        <v>1401</v>
      </c>
      <c r="E39" s="60" t="s">
        <v>735</v>
      </c>
      <c r="F39" s="61"/>
      <c r="G39" s="318" t="s">
        <v>227</v>
      </c>
      <c r="H39" s="61"/>
      <c r="I39" s="70">
        <v>30179631</v>
      </c>
      <c r="J39" s="70">
        <v>30179631</v>
      </c>
      <c r="K39" s="70">
        <f t="shared" si="0"/>
        <v>0</v>
      </c>
    </row>
    <row r="40" spans="1:11" x14ac:dyDescent="0.25">
      <c r="A40" s="43">
        <v>43367</v>
      </c>
      <c r="B40" s="58" t="s">
        <v>742</v>
      </c>
      <c r="C40" s="59">
        <v>868</v>
      </c>
      <c r="D40" s="219">
        <v>1481</v>
      </c>
      <c r="E40" s="60" t="s">
        <v>743</v>
      </c>
      <c r="F40" s="61"/>
      <c r="G40" s="318" t="s">
        <v>780</v>
      </c>
      <c r="H40" s="61"/>
      <c r="I40" s="70">
        <v>4747174</v>
      </c>
      <c r="J40" s="70">
        <v>4747174</v>
      </c>
      <c r="K40" s="70">
        <f t="shared" si="0"/>
        <v>0</v>
      </c>
    </row>
    <row r="41" spans="1:11" x14ac:dyDescent="0.25">
      <c r="A41" s="43">
        <v>43376</v>
      </c>
      <c r="B41" s="58" t="s">
        <v>776</v>
      </c>
      <c r="C41" s="59">
        <v>894</v>
      </c>
      <c r="D41" s="219">
        <v>1524</v>
      </c>
      <c r="E41" s="60" t="s">
        <v>778</v>
      </c>
      <c r="F41" s="61"/>
      <c r="G41" s="318" t="s">
        <v>534</v>
      </c>
      <c r="H41" s="61"/>
      <c r="I41" s="70">
        <v>1837294</v>
      </c>
      <c r="J41" s="70">
        <v>1837294</v>
      </c>
      <c r="K41" s="70">
        <f t="shared" si="0"/>
        <v>0</v>
      </c>
    </row>
    <row r="42" spans="1:11" x14ac:dyDescent="0.25">
      <c r="A42" s="43">
        <v>43376</v>
      </c>
      <c r="B42" s="58" t="s">
        <v>777</v>
      </c>
      <c r="C42" s="59">
        <v>895</v>
      </c>
      <c r="D42" s="219">
        <v>1525</v>
      </c>
      <c r="E42" s="60" t="s">
        <v>779</v>
      </c>
      <c r="F42" s="61"/>
      <c r="G42" s="318" t="s">
        <v>534</v>
      </c>
      <c r="H42" s="61"/>
      <c r="I42" s="70">
        <v>812213</v>
      </c>
      <c r="J42" s="70">
        <v>812213</v>
      </c>
      <c r="K42" s="70">
        <f t="shared" si="0"/>
        <v>0</v>
      </c>
    </row>
    <row r="43" spans="1:11" x14ac:dyDescent="0.25">
      <c r="A43" s="43">
        <v>43382</v>
      </c>
      <c r="B43" s="58" t="s">
        <v>772</v>
      </c>
      <c r="C43" s="59">
        <v>1422</v>
      </c>
      <c r="D43" s="219">
        <v>1562</v>
      </c>
      <c r="E43" s="60" t="s">
        <v>773</v>
      </c>
      <c r="F43" s="61"/>
      <c r="G43" s="318" t="s">
        <v>227</v>
      </c>
      <c r="H43" s="61"/>
      <c r="I43" s="70">
        <v>1138224208</v>
      </c>
      <c r="J43" s="70">
        <v>1138224208</v>
      </c>
      <c r="K43" s="70">
        <f t="shared" si="0"/>
        <v>0</v>
      </c>
    </row>
    <row r="44" spans="1:11" x14ac:dyDescent="0.25">
      <c r="A44" s="43">
        <v>43382</v>
      </c>
      <c r="B44" s="58" t="s">
        <v>774</v>
      </c>
      <c r="C44" s="59">
        <v>1423</v>
      </c>
      <c r="D44" s="219">
        <v>1563</v>
      </c>
      <c r="E44" s="60" t="s">
        <v>775</v>
      </c>
      <c r="F44" s="61"/>
      <c r="G44" s="318" t="s">
        <v>227</v>
      </c>
      <c r="H44" s="61"/>
      <c r="I44" s="70">
        <v>1240500</v>
      </c>
      <c r="J44" s="70">
        <v>1240500</v>
      </c>
      <c r="K44" s="70">
        <f t="shared" si="0"/>
        <v>0</v>
      </c>
    </row>
    <row r="45" spans="1:11" x14ac:dyDescent="0.25">
      <c r="A45" s="43">
        <v>43391</v>
      </c>
      <c r="B45" s="58" t="s">
        <v>806</v>
      </c>
      <c r="C45" s="59">
        <v>1448</v>
      </c>
      <c r="D45" s="219">
        <v>1609</v>
      </c>
      <c r="E45" s="60" t="s">
        <v>807</v>
      </c>
      <c r="F45" s="61"/>
      <c r="G45" s="318" t="s">
        <v>468</v>
      </c>
      <c r="H45" s="61"/>
      <c r="I45" s="70">
        <v>23909854</v>
      </c>
      <c r="J45" s="70">
        <v>23909854</v>
      </c>
      <c r="K45" s="70">
        <f t="shared" si="0"/>
        <v>0</v>
      </c>
    </row>
    <row r="46" spans="1:11" x14ac:dyDescent="0.25">
      <c r="A46" s="43">
        <v>43412</v>
      </c>
      <c r="B46" s="58" t="s">
        <v>822</v>
      </c>
      <c r="C46" s="59">
        <v>1470</v>
      </c>
      <c r="D46" s="219">
        <v>1653</v>
      </c>
      <c r="E46" s="60" t="s">
        <v>821</v>
      </c>
      <c r="F46" s="61"/>
      <c r="G46" s="318" t="s">
        <v>468</v>
      </c>
      <c r="H46" s="61"/>
      <c r="I46" s="70">
        <v>1123817087</v>
      </c>
      <c r="J46" s="70">
        <v>1123817087</v>
      </c>
      <c r="K46" s="70">
        <f t="shared" si="0"/>
        <v>0</v>
      </c>
    </row>
    <row r="47" spans="1:11" x14ac:dyDescent="0.25">
      <c r="A47" s="43">
        <v>43412</v>
      </c>
      <c r="B47" s="58" t="s">
        <v>824</v>
      </c>
      <c r="C47" s="59">
        <v>1472</v>
      </c>
      <c r="D47" s="219">
        <v>1655</v>
      </c>
      <c r="E47" s="60" t="s">
        <v>823</v>
      </c>
      <c r="F47" s="61"/>
      <c r="G47" s="318" t="s">
        <v>468</v>
      </c>
      <c r="H47" s="61"/>
      <c r="I47" s="70">
        <v>7249800</v>
      </c>
      <c r="J47" s="70">
        <v>7249800</v>
      </c>
      <c r="K47" s="70">
        <f t="shared" si="0"/>
        <v>0</v>
      </c>
    </row>
    <row r="48" spans="1:11" x14ac:dyDescent="0.25">
      <c r="A48" s="43">
        <v>43424</v>
      </c>
      <c r="B48" s="58" t="s">
        <v>847</v>
      </c>
      <c r="C48" s="59">
        <v>1491</v>
      </c>
      <c r="D48" s="219">
        <v>1683</v>
      </c>
      <c r="E48" s="60" t="s">
        <v>848</v>
      </c>
      <c r="F48" s="61"/>
      <c r="G48" s="318" t="s">
        <v>468</v>
      </c>
      <c r="H48" s="61"/>
      <c r="I48" s="70">
        <v>61650740</v>
      </c>
      <c r="J48" s="70">
        <v>61650740</v>
      </c>
      <c r="K48" s="70"/>
    </row>
    <row r="49" spans="1:11" x14ac:dyDescent="0.25">
      <c r="A49" s="43">
        <v>43431</v>
      </c>
      <c r="B49" s="58" t="s">
        <v>864</v>
      </c>
      <c r="C49" s="59">
        <v>1452</v>
      </c>
      <c r="D49" s="219">
        <v>1698</v>
      </c>
      <c r="E49" s="60" t="s">
        <v>865</v>
      </c>
      <c r="F49" s="61"/>
      <c r="G49" s="318" t="s">
        <v>534</v>
      </c>
      <c r="H49" s="61"/>
      <c r="I49" s="70">
        <v>1223929</v>
      </c>
      <c r="J49" s="70">
        <v>1223929</v>
      </c>
      <c r="K49" s="70"/>
    </row>
    <row r="50" spans="1:11" ht="12.75" customHeight="1" x14ac:dyDescent="0.25">
      <c r="A50" s="43"/>
      <c r="B50" s="150"/>
      <c r="C50" s="150"/>
      <c r="D50" s="150"/>
      <c r="E50" s="111"/>
      <c r="F50" s="112"/>
      <c r="G50" s="104"/>
      <c r="H50" s="112"/>
      <c r="I50" s="150"/>
      <c r="J50" s="150"/>
      <c r="K50" s="249"/>
    </row>
    <row r="51" spans="1:11" x14ac:dyDescent="0.25">
      <c r="A51" s="50"/>
      <c r="B51" s="51"/>
      <c r="C51" s="51"/>
      <c r="D51" s="51"/>
      <c r="E51" s="51"/>
      <c r="F51" s="51"/>
      <c r="G51" s="344" t="s">
        <v>131</v>
      </c>
      <c r="H51" s="345"/>
      <c r="I51" s="73">
        <f>SUM(I16:I50)</f>
        <v>12660495646</v>
      </c>
      <c r="J51" s="73">
        <f t="shared" ref="J51" si="1">SUM(J16:J50)</f>
        <v>12660495646</v>
      </c>
      <c r="K51" s="73">
        <f>SUM(K16:K50)</f>
        <v>0</v>
      </c>
    </row>
    <row r="52" spans="1:11" ht="12.75" customHeight="1" x14ac:dyDescent="0.25">
      <c r="A52" s="51"/>
      <c r="B52" s="51"/>
      <c r="C52" s="51"/>
      <c r="D52" s="51"/>
      <c r="E52" s="51"/>
      <c r="F52" s="51"/>
      <c r="G52" s="108"/>
      <c r="H52" s="108"/>
      <c r="I52" s="151"/>
      <c r="J52" s="151"/>
      <c r="K52" s="151"/>
    </row>
    <row r="53" spans="1:11" ht="24.95" customHeight="1" x14ac:dyDescent="0.25">
      <c r="A53" s="284" t="s">
        <v>58</v>
      </c>
      <c r="B53" s="284" t="s">
        <v>132</v>
      </c>
      <c r="C53" s="284" t="s">
        <v>30</v>
      </c>
      <c r="D53" s="285" t="s">
        <v>59</v>
      </c>
      <c r="E53" s="284" t="s">
        <v>40</v>
      </c>
      <c r="F53" s="284" t="s">
        <v>62</v>
      </c>
      <c r="G53" s="284" t="s">
        <v>37</v>
      </c>
      <c r="H53" s="284" t="s">
        <v>60</v>
      </c>
      <c r="I53" s="284" t="s">
        <v>61</v>
      </c>
      <c r="J53" s="284" t="s">
        <v>98</v>
      </c>
      <c r="K53" s="284" t="s">
        <v>68</v>
      </c>
    </row>
    <row r="54" spans="1:11" ht="24.95" customHeight="1" x14ac:dyDescent="0.25">
      <c r="A54" s="291">
        <v>21706752000</v>
      </c>
      <c r="B54" s="291"/>
      <c r="C54" s="291">
        <v>0</v>
      </c>
      <c r="D54" s="287">
        <f>+A54+B54-C54</f>
        <v>21706752000</v>
      </c>
      <c r="E54" s="287">
        <f>+I51</f>
        <v>12660495646</v>
      </c>
      <c r="F54" s="288">
        <f>+E54/D54</f>
        <v>0.58325149916486818</v>
      </c>
      <c r="G54" s="287">
        <f>+I12</f>
        <v>814051</v>
      </c>
      <c r="H54" s="287">
        <f>+D54-E54-G54</f>
        <v>9045442303</v>
      </c>
      <c r="I54" s="287">
        <f>+J51</f>
        <v>12660495646</v>
      </c>
      <c r="J54" s="297">
        <f>+I54/D54</f>
        <v>0.58325149916486818</v>
      </c>
      <c r="K54" s="287">
        <f>+K51</f>
        <v>0</v>
      </c>
    </row>
    <row r="55" spans="1:11" x14ac:dyDescent="0.25">
      <c r="A55" s="290">
        <v>1</v>
      </c>
      <c r="B55" s="290">
        <v>2</v>
      </c>
      <c r="C55" s="290">
        <v>3</v>
      </c>
      <c r="D55" s="290" t="s">
        <v>42</v>
      </c>
      <c r="E55" s="290">
        <v>5</v>
      </c>
      <c r="F55" s="290" t="s">
        <v>69</v>
      </c>
      <c r="G55" s="290">
        <v>7</v>
      </c>
      <c r="H55" s="290" t="s">
        <v>70</v>
      </c>
      <c r="I55" s="290">
        <v>9</v>
      </c>
      <c r="J55" s="290" t="s">
        <v>99</v>
      </c>
      <c r="K55" s="290" t="s">
        <v>100</v>
      </c>
    </row>
    <row r="57" spans="1:11" x14ac:dyDescent="0.25">
      <c r="B57" s="211"/>
      <c r="E57" s="211"/>
      <c r="I57" s="211"/>
      <c r="J57" s="211"/>
    </row>
    <row r="58" spans="1:11" x14ac:dyDescent="0.25">
      <c r="B58" s="211"/>
      <c r="E58" s="211"/>
      <c r="I58" s="211"/>
      <c r="K58" s="211"/>
    </row>
    <row r="59" spans="1:11" x14ac:dyDescent="0.25">
      <c r="J59" s="211"/>
    </row>
  </sheetData>
  <mergeCells count="15">
    <mergeCell ref="J14:J15"/>
    <mergeCell ref="I14:I15"/>
    <mergeCell ref="A14:A15"/>
    <mergeCell ref="B5:B6"/>
    <mergeCell ref="D5:D6"/>
    <mergeCell ref="I5:I6"/>
    <mergeCell ref="J5:K6"/>
    <mergeCell ref="A5:A6"/>
    <mergeCell ref="G51:H51"/>
    <mergeCell ref="E14:H14"/>
    <mergeCell ref="E15:F15"/>
    <mergeCell ref="G15:H15"/>
    <mergeCell ref="E5:H5"/>
    <mergeCell ref="E6:H6"/>
    <mergeCell ref="G12:H12"/>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2"/>
  <sheetViews>
    <sheetView workbookViewId="0">
      <selection activeCell="K3" sqref="K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151</v>
      </c>
      <c r="B3" s="278" t="s">
        <v>152</v>
      </c>
      <c r="C3" s="275"/>
      <c r="D3" s="275"/>
      <c r="E3" s="276"/>
      <c r="F3" s="276"/>
      <c r="G3" s="276"/>
      <c r="H3" s="276"/>
      <c r="I3" s="276"/>
      <c r="J3" s="276"/>
      <c r="K3" s="277" t="s">
        <v>825</v>
      </c>
    </row>
    <row r="4" spans="1:11" ht="12.75" customHeight="1" x14ac:dyDescent="0.25">
      <c r="A4" s="33"/>
      <c r="B4" s="33"/>
      <c r="C4" s="33"/>
      <c r="D4" s="33"/>
      <c r="E4" s="33"/>
      <c r="F4" s="33"/>
      <c r="G4" s="33"/>
      <c r="H4" s="33"/>
      <c r="I4" s="137"/>
      <c r="J4" s="33"/>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130"/>
      <c r="B7" s="37"/>
      <c r="C7" s="38"/>
      <c r="D7" s="39"/>
      <c r="E7" s="37"/>
      <c r="F7" s="40"/>
      <c r="G7" s="41"/>
      <c r="H7" s="42"/>
      <c r="I7" s="147"/>
      <c r="J7" s="37"/>
      <c r="K7" s="38"/>
    </row>
    <row r="8" spans="1:11" ht="12.75" customHeight="1" x14ac:dyDescent="0.25">
      <c r="A8" s="43"/>
      <c r="B8" s="48"/>
      <c r="C8" s="49"/>
      <c r="D8" s="39"/>
      <c r="E8" s="39"/>
      <c r="F8" s="32"/>
      <c r="G8" s="46"/>
      <c r="H8" s="47"/>
      <c r="I8" s="67"/>
      <c r="J8" s="39"/>
      <c r="K8" s="44"/>
    </row>
    <row r="9" spans="1:11" x14ac:dyDescent="0.25">
      <c r="A9" s="50"/>
      <c r="B9" s="51"/>
      <c r="C9" s="51"/>
      <c r="D9" s="51"/>
      <c r="E9" s="51"/>
      <c r="F9" s="51"/>
      <c r="G9" s="344" t="s">
        <v>131</v>
      </c>
      <c r="H9" s="345"/>
      <c r="I9" s="69">
        <f>SUM(I7:I8)</f>
        <v>0</v>
      </c>
      <c r="J9" s="52"/>
      <c r="K9" s="53"/>
    </row>
    <row r="10" spans="1:11" ht="12.75" customHeight="1" x14ac:dyDescent="0.25">
      <c r="A10" s="3"/>
      <c r="B10" s="3"/>
      <c r="C10" s="3"/>
      <c r="D10" s="3"/>
      <c r="E10" s="3"/>
      <c r="F10" s="3"/>
      <c r="G10" s="3"/>
      <c r="H10" s="3"/>
      <c r="I10" s="22"/>
      <c r="J10" s="32"/>
      <c r="K10" s="44"/>
    </row>
    <row r="11" spans="1:11" x14ac:dyDescent="0.25">
      <c r="A11" s="346" t="s">
        <v>28</v>
      </c>
      <c r="B11" s="30" t="s">
        <v>38</v>
      </c>
      <c r="C11" s="55" t="s">
        <v>34</v>
      </c>
      <c r="D11" s="54" t="s">
        <v>34</v>
      </c>
      <c r="E11" s="350" t="s">
        <v>40</v>
      </c>
      <c r="F11" s="351"/>
      <c r="G11" s="351"/>
      <c r="H11" s="352"/>
      <c r="I11" s="346" t="s">
        <v>31</v>
      </c>
      <c r="J11" s="346" t="s">
        <v>29</v>
      </c>
      <c r="K11" s="55" t="s">
        <v>56</v>
      </c>
    </row>
    <row r="12" spans="1:11" x14ac:dyDescent="0.25">
      <c r="A12" s="347"/>
      <c r="B12" s="56" t="s">
        <v>39</v>
      </c>
      <c r="C12" s="56" t="s">
        <v>36</v>
      </c>
      <c r="D12" s="56" t="s">
        <v>35</v>
      </c>
      <c r="E12" s="350" t="s">
        <v>33</v>
      </c>
      <c r="F12" s="352"/>
      <c r="G12" s="350" t="s">
        <v>32</v>
      </c>
      <c r="H12" s="352"/>
      <c r="I12" s="347"/>
      <c r="J12" s="347"/>
      <c r="K12" s="56" t="s">
        <v>57</v>
      </c>
    </row>
    <row r="13" spans="1:11" ht="12.75" customHeight="1" x14ac:dyDescent="0.25">
      <c r="A13" s="36"/>
      <c r="B13" s="36"/>
      <c r="C13" s="36"/>
      <c r="D13" s="36"/>
      <c r="E13" s="39"/>
      <c r="F13" s="44"/>
      <c r="G13" s="39"/>
      <c r="H13" s="44"/>
      <c r="I13" s="57"/>
      <c r="J13" s="57"/>
      <c r="K13" s="57"/>
    </row>
    <row r="14" spans="1:11" x14ac:dyDescent="0.25">
      <c r="A14" s="43"/>
      <c r="B14" s="58"/>
      <c r="C14" s="59"/>
      <c r="D14" s="59"/>
      <c r="E14" s="142"/>
      <c r="F14" s="61"/>
      <c r="G14" s="60"/>
      <c r="H14" s="61"/>
      <c r="I14" s="71"/>
      <c r="J14" s="71"/>
      <c r="K14" s="70">
        <f>+I14-J14</f>
        <v>0</v>
      </c>
    </row>
    <row r="15" spans="1:11" ht="12.75" customHeight="1" x14ac:dyDescent="0.25">
      <c r="A15" s="43"/>
      <c r="B15" s="58"/>
      <c r="C15" s="36"/>
      <c r="D15" s="36"/>
      <c r="E15" s="39"/>
      <c r="F15" s="44"/>
      <c r="G15" s="39"/>
      <c r="H15" s="44"/>
      <c r="I15" s="83"/>
      <c r="J15" s="83"/>
      <c r="K15" s="83"/>
    </row>
    <row r="16" spans="1:11" x14ac:dyDescent="0.25">
      <c r="A16" s="50"/>
      <c r="B16" s="51"/>
      <c r="C16" s="51"/>
      <c r="D16" s="51"/>
      <c r="E16" s="51"/>
      <c r="F16" s="51"/>
      <c r="G16" s="344" t="s">
        <v>131</v>
      </c>
      <c r="H16" s="345"/>
      <c r="I16" s="73">
        <f>SUM(I14:I15)</f>
        <v>0</v>
      </c>
      <c r="J16" s="73">
        <f>SUM(J14:J15)</f>
        <v>0</v>
      </c>
      <c r="K16" s="73">
        <f>SUM(K14:K15)</f>
        <v>0</v>
      </c>
    </row>
    <row r="17" spans="1:11" ht="12.75" customHeight="1" x14ac:dyDescent="0.25">
      <c r="A17" s="3"/>
      <c r="B17" s="3"/>
      <c r="C17" s="3"/>
      <c r="D17" s="3"/>
      <c r="E17" s="3"/>
      <c r="F17" s="3"/>
      <c r="G17" s="3"/>
      <c r="H17" s="3"/>
      <c r="I17" s="86"/>
      <c r="J17" s="66"/>
      <c r="K17" s="155"/>
    </row>
    <row r="18" spans="1:11" ht="24.95" customHeight="1" x14ac:dyDescent="0.25">
      <c r="A18" s="284" t="s">
        <v>58</v>
      </c>
      <c r="B18" s="284" t="s">
        <v>132</v>
      </c>
      <c r="C18" s="284" t="s">
        <v>30</v>
      </c>
      <c r="D18" s="285" t="s">
        <v>59</v>
      </c>
      <c r="E18" s="284" t="s">
        <v>40</v>
      </c>
      <c r="F18" s="284" t="s">
        <v>62</v>
      </c>
      <c r="G18" s="284" t="s">
        <v>37</v>
      </c>
      <c r="H18" s="284" t="s">
        <v>60</v>
      </c>
      <c r="I18" s="284" t="s">
        <v>61</v>
      </c>
      <c r="J18" s="284" t="s">
        <v>98</v>
      </c>
      <c r="K18" s="284" t="s">
        <v>68</v>
      </c>
    </row>
    <row r="19" spans="1:11" ht="24.95" customHeight="1" x14ac:dyDescent="0.25">
      <c r="A19" s="291">
        <v>0</v>
      </c>
      <c r="B19" s="291"/>
      <c r="C19" s="291">
        <v>0</v>
      </c>
      <c r="D19" s="287">
        <f>+A19+B19-C19</f>
        <v>0</v>
      </c>
      <c r="E19" s="287">
        <f>+I16</f>
        <v>0</v>
      </c>
      <c r="F19" s="288">
        <v>0</v>
      </c>
      <c r="G19" s="287">
        <f>+I9</f>
        <v>0</v>
      </c>
      <c r="H19" s="287">
        <f>+D19-E19-G19</f>
        <v>0</v>
      </c>
      <c r="I19" s="287">
        <f>+J16</f>
        <v>0</v>
      </c>
      <c r="J19" s="293">
        <v>0</v>
      </c>
      <c r="K19" s="287">
        <f>+K16</f>
        <v>0</v>
      </c>
    </row>
    <row r="20" spans="1:11" x14ac:dyDescent="0.25">
      <c r="A20" s="290">
        <v>1</v>
      </c>
      <c r="B20" s="290">
        <v>2</v>
      </c>
      <c r="C20" s="290">
        <v>3</v>
      </c>
      <c r="D20" s="290" t="s">
        <v>42</v>
      </c>
      <c r="E20" s="290">
        <v>5</v>
      </c>
      <c r="F20" s="290" t="s">
        <v>69</v>
      </c>
      <c r="G20" s="290">
        <v>7</v>
      </c>
      <c r="H20" s="290" t="s">
        <v>70</v>
      </c>
      <c r="I20" s="290">
        <v>9</v>
      </c>
      <c r="J20" s="290" t="s">
        <v>99</v>
      </c>
      <c r="K20" s="290" t="s">
        <v>100</v>
      </c>
    </row>
    <row r="22" spans="1:11" x14ac:dyDescent="0.25">
      <c r="B22" s="211"/>
    </row>
  </sheetData>
  <mergeCells count="15">
    <mergeCell ref="J5:K6"/>
    <mergeCell ref="E6:H6"/>
    <mergeCell ref="G16:H16"/>
    <mergeCell ref="G9:H9"/>
    <mergeCell ref="A11:A12"/>
    <mergeCell ref="E11:H11"/>
    <mergeCell ref="I11:I12"/>
    <mergeCell ref="J11:J12"/>
    <mergeCell ref="E12:F12"/>
    <mergeCell ref="G12:H12"/>
    <mergeCell ref="A5:A6"/>
    <mergeCell ref="B5:B6"/>
    <mergeCell ref="D5:D6"/>
    <mergeCell ref="E5:H5"/>
    <mergeCell ref="I5:I6"/>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47"/>
  <sheetViews>
    <sheetView tabSelected="1" zoomScaleSheetLayoutView="100" workbookViewId="0">
      <pane xSplit="2" ySplit="2" topLeftCell="C3" activePane="bottomRight" state="frozen"/>
      <selection pane="topRight" activeCell="C1" sqref="C1"/>
      <selection pane="bottomLeft" activeCell="A3" sqref="A3"/>
      <selection pane="bottomRight" activeCell="C27" sqref="C27:M35"/>
    </sheetView>
  </sheetViews>
  <sheetFormatPr baseColWidth="10" defaultRowHeight="12.75" x14ac:dyDescent="0.2"/>
  <cols>
    <col min="1" max="1" width="12.7109375" style="167" customWidth="1"/>
    <col min="2" max="2" width="27.7109375" style="167" customWidth="1"/>
    <col min="3" max="4" width="17.28515625" style="167" customWidth="1"/>
    <col min="5" max="13" width="16.7109375" style="167" customWidth="1"/>
    <col min="14" max="16384" width="11.42578125" style="167"/>
  </cols>
  <sheetData>
    <row r="1" spans="1:16" ht="30" customHeight="1" x14ac:dyDescent="0.2">
      <c r="A1" s="166"/>
      <c r="B1" s="166"/>
      <c r="D1" s="166"/>
      <c r="E1" s="166" t="s">
        <v>96</v>
      </c>
      <c r="F1" s="166"/>
      <c r="G1" s="166"/>
      <c r="H1" s="166"/>
      <c r="I1" s="166"/>
      <c r="J1" s="166"/>
      <c r="K1" s="168"/>
      <c r="L1" s="168"/>
      <c r="M1" s="277" t="s">
        <v>825</v>
      </c>
    </row>
    <row r="2" spans="1:16" ht="25.5" customHeight="1" x14ac:dyDescent="0.2">
      <c r="A2" s="158" t="s">
        <v>55</v>
      </c>
      <c r="B2" s="158" t="s">
        <v>67</v>
      </c>
      <c r="C2" s="169" t="s">
        <v>139</v>
      </c>
      <c r="D2" s="158" t="s">
        <v>27</v>
      </c>
      <c r="E2" s="158" t="s">
        <v>30</v>
      </c>
      <c r="F2" s="169" t="s">
        <v>59</v>
      </c>
      <c r="G2" s="170" t="s">
        <v>40</v>
      </c>
      <c r="H2" s="169" t="s">
        <v>62</v>
      </c>
      <c r="I2" s="209" t="s">
        <v>37</v>
      </c>
      <c r="J2" s="169" t="s">
        <v>60</v>
      </c>
      <c r="K2" s="171" t="s">
        <v>29</v>
      </c>
      <c r="L2" s="169" t="s">
        <v>98</v>
      </c>
      <c r="M2" s="169" t="s">
        <v>68</v>
      </c>
    </row>
    <row r="3" spans="1:16" ht="25.5" customHeight="1" x14ac:dyDescent="0.2">
      <c r="A3" s="172" t="s">
        <v>8</v>
      </c>
      <c r="B3" s="173" t="s">
        <v>5</v>
      </c>
      <c r="C3" s="174">
        <f>SUM(C4:C7)</f>
        <v>4184996000</v>
      </c>
      <c r="D3" s="174">
        <f>SUM(D4:D7)</f>
        <v>-103576178</v>
      </c>
      <c r="E3" s="174">
        <f>SUM(E4:E7)</f>
        <v>0</v>
      </c>
      <c r="F3" s="174">
        <f>SUM(F4:F7)</f>
        <v>4081419822</v>
      </c>
      <c r="G3" s="174">
        <f>SUM(G4:G7)</f>
        <v>3903883315</v>
      </c>
      <c r="H3" s="175">
        <f>+G3/F3</f>
        <v>0.95650128760510533</v>
      </c>
      <c r="I3" s="174">
        <f>SUM(I4:I7)</f>
        <v>38805164</v>
      </c>
      <c r="J3" s="174">
        <f>SUM(J4:J7)</f>
        <v>138731343</v>
      </c>
      <c r="K3" s="174">
        <f>SUM(K4:K7)</f>
        <v>2616960453</v>
      </c>
      <c r="L3" s="175">
        <f>+K3/F3</f>
        <v>0.64118874488084943</v>
      </c>
      <c r="M3" s="174">
        <f>SUM(M4:M7)</f>
        <v>1286922862</v>
      </c>
    </row>
    <row r="4" spans="1:16" ht="25.5" customHeight="1" x14ac:dyDescent="0.2">
      <c r="A4" s="176" t="s">
        <v>7</v>
      </c>
      <c r="B4" s="177" t="s">
        <v>73</v>
      </c>
      <c r="C4" s="178">
        <f>+DOTACION!A24</f>
        <v>50000000</v>
      </c>
      <c r="D4" s="178">
        <f>+DOTACION!B24</f>
        <v>0</v>
      </c>
      <c r="E4" s="178">
        <f>+DOTACION!C24</f>
        <v>0</v>
      </c>
      <c r="F4" s="178">
        <f>+DOTACION!D24</f>
        <v>50000000</v>
      </c>
      <c r="G4" s="178">
        <f>+DOTACION!E24</f>
        <v>26648100</v>
      </c>
      <c r="H4" s="179">
        <f>+DOTACION!F24</f>
        <v>0.53296200000000005</v>
      </c>
      <c r="I4" s="178">
        <f>+DOTACION!G24</f>
        <v>0</v>
      </c>
      <c r="J4" s="178">
        <f>+DOTACION!H24</f>
        <v>23351900</v>
      </c>
      <c r="K4" s="180">
        <f>+DOTACION!I24</f>
        <v>17256800</v>
      </c>
      <c r="L4" s="179">
        <f>+DOTACION!J24</f>
        <v>0.345136</v>
      </c>
      <c r="M4" s="178">
        <f>+DOTACION!K24</f>
        <v>9391300</v>
      </c>
    </row>
    <row r="5" spans="1:16" ht="25.5" customHeight="1" x14ac:dyDescent="0.2">
      <c r="A5" s="176" t="s">
        <v>9</v>
      </c>
      <c r="B5" s="177" t="s">
        <v>74</v>
      </c>
      <c r="C5" s="178">
        <f>+'GASTOS DE COMPUTADOR'!A34</f>
        <v>3594000000</v>
      </c>
      <c r="D5" s="178">
        <f>+'GASTOS DE COMPUTADOR'!B34</f>
        <v>0</v>
      </c>
      <c r="E5" s="178">
        <f>+'GASTOS DE COMPUTADOR'!C34</f>
        <v>0</v>
      </c>
      <c r="F5" s="178">
        <f>+'GASTOS DE COMPUTADOR'!D34</f>
        <v>3594000000</v>
      </c>
      <c r="G5" s="178">
        <f>+'GASTOS DE COMPUTADOR'!E34</f>
        <v>3454784281</v>
      </c>
      <c r="H5" s="179">
        <f>+'GASTOS DE COMPUTADOR'!F34</f>
        <v>0.96126440762381749</v>
      </c>
      <c r="I5" s="178">
        <f>+'GASTOS DE COMPUTADOR'!G34</f>
        <v>31244256</v>
      </c>
      <c r="J5" s="178">
        <f>+'GASTOS DE COMPUTADOR'!H34</f>
        <v>107971463</v>
      </c>
      <c r="K5" s="181">
        <f>+'GASTOS DE COMPUTADOR'!I34</f>
        <v>2388001161</v>
      </c>
      <c r="L5" s="179">
        <f>+'GASTOS DE COMPUTADOR'!J34</f>
        <v>0.66444105759599337</v>
      </c>
      <c r="M5" s="181">
        <f>+'GASTOS DE COMPUTADOR'!K34</f>
        <v>1066783120</v>
      </c>
      <c r="N5" s="207"/>
    </row>
    <row r="6" spans="1:16" ht="25.5" customHeight="1" x14ac:dyDescent="0.2">
      <c r="A6" s="176" t="s">
        <v>10</v>
      </c>
      <c r="B6" s="177" t="s">
        <v>75</v>
      </c>
      <c r="C6" s="178">
        <f>+'COM, LUBRICAN, Y LLANTAS'!A24</f>
        <v>84996000</v>
      </c>
      <c r="D6" s="178">
        <f>+'COM, LUBRICAN, Y LLANTAS'!B24</f>
        <v>40000000</v>
      </c>
      <c r="E6" s="178">
        <f>+'COM, LUBRICAN, Y LLANTAS'!C24</f>
        <v>0</v>
      </c>
      <c r="F6" s="178">
        <f>+'COM, LUBRICAN, Y LLANTAS'!D24</f>
        <v>124996000</v>
      </c>
      <c r="G6" s="178">
        <f>+'COM, LUBRICAN, Y LLANTAS'!E24</f>
        <v>120000000</v>
      </c>
      <c r="H6" s="179">
        <f>+'COM, LUBRICAN, Y LLANTAS'!F24</f>
        <v>0.96003072098307141</v>
      </c>
      <c r="I6" s="178">
        <f>+'COM, LUBRICAN, Y LLANTAS'!G24</f>
        <v>1800000</v>
      </c>
      <c r="J6" s="178">
        <f>+'COM, LUBRICAN, Y LLANTAS'!H24</f>
        <v>3196000</v>
      </c>
      <c r="K6" s="178">
        <f>+'COM, LUBRICAN, Y LLANTAS'!I24</f>
        <v>60398699</v>
      </c>
      <c r="L6" s="179">
        <f>+'COM, LUBRICAN, Y LLANTAS'!J24</f>
        <v>0.48320505456174595</v>
      </c>
      <c r="M6" s="178">
        <f>+'COM, LUBRICAN, Y LLANTAS'!K24</f>
        <v>59601301</v>
      </c>
    </row>
    <row r="7" spans="1:16" ht="25.5" customHeight="1" x14ac:dyDescent="0.2">
      <c r="A7" s="176" t="s">
        <v>11</v>
      </c>
      <c r="B7" s="177" t="s">
        <v>76</v>
      </c>
      <c r="C7" s="178">
        <f>+'MATERIALES Y SUMINISTROS'!A30</f>
        <v>456000000</v>
      </c>
      <c r="D7" s="178">
        <f>+'MATERIALES Y SUMINISTROS'!B30</f>
        <v>-143576178</v>
      </c>
      <c r="E7" s="178">
        <f>+'MATERIALES Y SUMINISTROS'!C30</f>
        <v>0</v>
      </c>
      <c r="F7" s="178">
        <f>+'MATERIALES Y SUMINISTROS'!D30</f>
        <v>312423822</v>
      </c>
      <c r="G7" s="178">
        <f>+'MATERIALES Y SUMINISTROS'!E30</f>
        <v>302450934</v>
      </c>
      <c r="H7" s="179">
        <f>+'MATERIALES Y SUMINISTROS'!F30</f>
        <v>0.96807897702499779</v>
      </c>
      <c r="I7" s="178">
        <f>+'MATERIALES Y SUMINISTROS'!G30</f>
        <v>5760908</v>
      </c>
      <c r="J7" s="178">
        <f>+'MATERIALES Y SUMINISTROS'!H30</f>
        <v>4211980</v>
      </c>
      <c r="K7" s="181">
        <f>+'MATERIALES Y SUMINISTROS'!I30</f>
        <v>151303793</v>
      </c>
      <c r="L7" s="179">
        <f>+'MATERIALES Y SUMINISTROS'!J30</f>
        <v>0.48429019282658925</v>
      </c>
      <c r="M7" s="181">
        <f>+'MATERIALES Y SUMINISTROS'!K30</f>
        <v>151147141</v>
      </c>
    </row>
    <row r="8" spans="1:16" ht="25.5" customHeight="1" x14ac:dyDescent="0.2">
      <c r="A8" s="182" t="s">
        <v>12</v>
      </c>
      <c r="B8" s="183" t="s">
        <v>6</v>
      </c>
      <c r="C8" s="184">
        <f>SUM(C9:C14)+C15+C20+C21+C22+C23</f>
        <v>7935414000</v>
      </c>
      <c r="D8" s="184">
        <f>SUM(D9:D14)+D15+D20+D21+D22+D23</f>
        <v>95763758</v>
      </c>
      <c r="E8" s="184">
        <f>SUM(E9:E14)+E15+E20+E21+E22+E23</f>
        <v>0</v>
      </c>
      <c r="F8" s="184">
        <f>SUM(F9:F14)+F15+F20+F21+F22+F23</f>
        <v>8031177758</v>
      </c>
      <c r="G8" s="184">
        <f>SUM(G9:G14)+G15+G20+G21+G22+G23</f>
        <v>6110881203</v>
      </c>
      <c r="H8" s="185">
        <f>+G8/F8</f>
        <v>0.76089477622542245</v>
      </c>
      <c r="I8" s="184">
        <f>SUM(I9:I14)+I15+I20+I21+I22+I23</f>
        <v>740359174</v>
      </c>
      <c r="J8" s="184">
        <f>SUM(J9:J14)+J15+J20+J21+J22+J23</f>
        <v>1179937381</v>
      </c>
      <c r="K8" s="184">
        <f>SUM(K9:K14)+K15+K20+K21+K22+K23</f>
        <v>3941262691</v>
      </c>
      <c r="L8" s="185">
        <f>+K8/F8</f>
        <v>0.49074529412252615</v>
      </c>
      <c r="M8" s="184">
        <f>SUM(M9:M14)+M15+M20+M21+M22+M23</f>
        <v>2169618512</v>
      </c>
    </row>
    <row r="9" spans="1:16" ht="25.5" customHeight="1" x14ac:dyDescent="0.2">
      <c r="A9" s="176" t="s">
        <v>135</v>
      </c>
      <c r="B9" s="177" t="s">
        <v>136</v>
      </c>
      <c r="C9" s="178">
        <f>+ARRENDAMIENTOS!A25</f>
        <v>358000000</v>
      </c>
      <c r="D9" s="178">
        <f>+ARRENDAMIENTOS!B25</f>
        <v>0</v>
      </c>
      <c r="E9" s="178">
        <f>+ARRENDAMIENTOS!C25</f>
        <v>0</v>
      </c>
      <c r="F9" s="178">
        <f>+ARRENDAMIENTOS!D25</f>
        <v>358000000</v>
      </c>
      <c r="G9" s="178">
        <f>+ARRENDAMIENTOS!E25</f>
        <v>105575162</v>
      </c>
      <c r="H9" s="179">
        <f>+ARRENDAMIENTOS!F25</f>
        <v>0.29490268715083801</v>
      </c>
      <c r="I9" s="178">
        <f>+ARRENDAMIENTOS!G25</f>
        <v>55212230</v>
      </c>
      <c r="J9" s="178">
        <f>+ARRENDAMIENTOS!H25</f>
        <v>197212608</v>
      </c>
      <c r="K9" s="178">
        <f>+ARRENDAMIENTOS!I25</f>
        <v>100130186</v>
      </c>
      <c r="L9" s="179">
        <f>+ARRENDAMIENTOS!J25</f>
        <v>0.27969325698324021</v>
      </c>
      <c r="M9" s="178">
        <f>+ARRENDAMIENTOS!K25</f>
        <v>5444976</v>
      </c>
      <c r="P9" s="207"/>
    </row>
    <row r="10" spans="1:16" ht="25.5" customHeight="1" x14ac:dyDescent="0.2">
      <c r="A10" s="176" t="s">
        <v>155</v>
      </c>
      <c r="B10" s="177" t="s">
        <v>156</v>
      </c>
      <c r="C10" s="178">
        <f>+VIATICOS!A24</f>
        <v>10000000</v>
      </c>
      <c r="D10" s="178">
        <f>+VIATICOS!B24</f>
        <v>8826178</v>
      </c>
      <c r="E10" s="178">
        <v>0</v>
      </c>
      <c r="F10" s="178">
        <f>+VIATICOS!D24</f>
        <v>18826178</v>
      </c>
      <c r="G10" s="178">
        <f>+VIATICOS!E24</f>
        <v>18396512</v>
      </c>
      <c r="H10" s="179">
        <f>+VIATICOS!F24</f>
        <v>0.97717720505989059</v>
      </c>
      <c r="I10" s="178">
        <f>+VIATICOS!G24</f>
        <v>0</v>
      </c>
      <c r="J10" s="178">
        <f>+VIATICOS!H24</f>
        <v>429666</v>
      </c>
      <c r="K10" s="178">
        <f>+VIATICOS!I24</f>
        <v>18396512</v>
      </c>
      <c r="L10" s="179">
        <f>+VIATICOS!J24</f>
        <v>0.97717720505989059</v>
      </c>
      <c r="M10" s="178">
        <f>+VIATICOS!K24</f>
        <v>0</v>
      </c>
      <c r="P10" s="207"/>
    </row>
    <row r="11" spans="1:16" ht="25.5" customHeight="1" x14ac:dyDescent="0.2">
      <c r="A11" s="176" t="s">
        <v>13</v>
      </c>
      <c r="B11" s="177" t="s">
        <v>77</v>
      </c>
      <c r="C11" s="178">
        <f>+'GASTOS DE TRANS, Y COMUNICA'!A60</f>
        <v>1626204000</v>
      </c>
      <c r="D11" s="178">
        <f>+'GASTOS DE TRANS, Y COMUNICA'!B60</f>
        <v>0</v>
      </c>
      <c r="E11" s="178">
        <f>+'GASTOS DE TRANS, Y COMUNICA'!C60</f>
        <v>0</v>
      </c>
      <c r="F11" s="178">
        <f>+'GASTOS DE TRANS, Y COMUNICA'!D60</f>
        <v>1626204000</v>
      </c>
      <c r="G11" s="178">
        <f>+'GASTOS DE TRANS, Y COMUNICA'!E60</f>
        <v>935488759</v>
      </c>
      <c r="H11" s="179">
        <f>+'GASTOS DE TRANS, Y COMUNICA'!F60</f>
        <v>0.57525916736153648</v>
      </c>
      <c r="I11" s="178">
        <f>+'GASTOS DE TRANS, Y COMUNICA'!G60</f>
        <v>82972992</v>
      </c>
      <c r="J11" s="178">
        <f>+'GASTOS DE TRANS, Y COMUNICA'!H60</f>
        <v>607742249</v>
      </c>
      <c r="K11" s="178">
        <f>+'GASTOS DE TRANS, Y COMUNICA'!I60</f>
        <v>342876820</v>
      </c>
      <c r="L11" s="179">
        <f>+'GASTOS DE TRANS, Y COMUNICA'!J60</f>
        <v>0.21084490014782895</v>
      </c>
      <c r="M11" s="178">
        <f>+'GASTOS DE TRANS, Y COMUNICA'!K60</f>
        <v>592611939</v>
      </c>
      <c r="P11" s="207"/>
    </row>
    <row r="12" spans="1:16" ht="25.5" customHeight="1" x14ac:dyDescent="0.2">
      <c r="A12" s="176" t="s">
        <v>14</v>
      </c>
      <c r="B12" s="177" t="s">
        <v>78</v>
      </c>
      <c r="C12" s="178">
        <f>+'IMPRESOS Y PUBLICACIÓN'!A30</f>
        <v>84000000</v>
      </c>
      <c r="D12" s="178">
        <f>+'IMPRESOS Y PUBLICACIÓN'!B30</f>
        <v>0</v>
      </c>
      <c r="E12" s="178">
        <f>+'IMPRESOS Y PUBLICACIÓN'!C30</f>
        <v>0</v>
      </c>
      <c r="F12" s="178">
        <f>+'IMPRESOS Y PUBLICACIÓN'!D30</f>
        <v>84000000</v>
      </c>
      <c r="G12" s="178">
        <f>+'IMPRESOS Y PUBLICACIÓN'!E30</f>
        <v>33290413</v>
      </c>
      <c r="H12" s="179">
        <f>+'IMPRESOS Y PUBLICACIÓN'!F30</f>
        <v>0.39631444047619047</v>
      </c>
      <c r="I12" s="178">
        <f>+'IMPRESOS Y PUBLICACIÓN'!G30</f>
        <v>3436585</v>
      </c>
      <c r="J12" s="178">
        <f>+'IMPRESOS Y PUBLICACIÓN'!H30</f>
        <v>47273002</v>
      </c>
      <c r="K12" s="178">
        <f>+'IMPRESOS Y PUBLICACIÓN'!I30</f>
        <v>18264007</v>
      </c>
      <c r="L12" s="179">
        <f>+'IMPRESOS Y PUBLICACIÓN'!J30</f>
        <v>0.21742865476190476</v>
      </c>
      <c r="M12" s="178">
        <f>+'IMPRESOS Y PUBLICACIÓN'!K30</f>
        <v>15026406</v>
      </c>
      <c r="P12" s="207"/>
    </row>
    <row r="13" spans="1:16" ht="25.5" customHeight="1" x14ac:dyDescent="0.2">
      <c r="A13" s="176" t="s">
        <v>15</v>
      </c>
      <c r="B13" s="177" t="s">
        <v>79</v>
      </c>
      <c r="C13" s="178">
        <f>+'MANTENIMIENTO ENTIDAD'!A39</f>
        <v>2707000000</v>
      </c>
      <c r="D13" s="178">
        <f>+'MANTENIMIENTO ENTIDAD'!B39</f>
        <v>0</v>
      </c>
      <c r="E13" s="178">
        <f>+'MANTENIMIENTO ENTIDAD'!C39</f>
        <v>0</v>
      </c>
      <c r="F13" s="178">
        <f>+'MANTENIMIENTO ENTIDAD'!D39</f>
        <v>2707000000</v>
      </c>
      <c r="G13" s="178">
        <f>+'MANTENIMIENTO ENTIDAD'!E39</f>
        <v>2564695425</v>
      </c>
      <c r="H13" s="179">
        <f>+'MANTENIMIENTO ENTIDAD'!F39</f>
        <v>0.94743089213151088</v>
      </c>
      <c r="I13" s="178">
        <f>+'MANTENIMIENTO ENTIDAD'!G39</f>
        <v>11192120</v>
      </c>
      <c r="J13" s="178">
        <f>+'MANTENIMIENTO ENTIDAD'!H39</f>
        <v>131112455</v>
      </c>
      <c r="K13" s="178">
        <f>+'MANTENIMIENTO ENTIDAD'!I39</f>
        <v>1727029350</v>
      </c>
      <c r="L13" s="179">
        <f>+'MANTENIMIENTO ENTIDAD'!J39</f>
        <v>0.6379864610269671</v>
      </c>
      <c r="M13" s="178">
        <f>+'MANTENIMIENTO ENTIDAD'!K39</f>
        <v>837666075</v>
      </c>
      <c r="P13" s="207"/>
    </row>
    <row r="14" spans="1:16" ht="25.5" customHeight="1" x14ac:dyDescent="0.2">
      <c r="A14" s="176" t="s">
        <v>16</v>
      </c>
      <c r="B14" s="177" t="s">
        <v>80</v>
      </c>
      <c r="C14" s="178">
        <f>+'SEGUROS ENTIDAD'!A23</f>
        <v>843416000</v>
      </c>
      <c r="D14" s="178">
        <f>+'SEGUROS ENTIDAD'!B23</f>
        <v>-47812420</v>
      </c>
      <c r="E14" s="178">
        <f>+'SEGUROS ENTIDAD'!C23</f>
        <v>0</v>
      </c>
      <c r="F14" s="178">
        <f>+'SEGUROS ENTIDAD'!D23</f>
        <v>795603580</v>
      </c>
      <c r="G14" s="178">
        <f>+'SEGUROS ENTIDAD'!E23</f>
        <v>599681346</v>
      </c>
      <c r="H14" s="179">
        <f>+'SEGUROS ENTIDAD'!F23</f>
        <v>0.7537439009512753</v>
      </c>
      <c r="I14" s="178">
        <f>+'SEGUROS ENTIDAD'!G23</f>
        <v>38746897</v>
      </c>
      <c r="J14" s="178">
        <f>+'SEGUROS ENTIDAD'!H23</f>
        <v>157175337</v>
      </c>
      <c r="K14" s="178">
        <f>+'SEGUROS ENTIDAD'!I23</f>
        <v>569615926</v>
      </c>
      <c r="L14" s="179">
        <f>+'SEGUROS ENTIDAD'!J23</f>
        <v>0.7159544530958496</v>
      </c>
      <c r="M14" s="178">
        <f>+'SEGUROS ENTIDAD'!K23</f>
        <v>30065420</v>
      </c>
      <c r="P14" s="207"/>
    </row>
    <row r="15" spans="1:16" ht="25.5" customHeight="1" x14ac:dyDescent="0.2">
      <c r="A15" s="182" t="s">
        <v>18</v>
      </c>
      <c r="B15" s="183" t="s">
        <v>51</v>
      </c>
      <c r="C15" s="184">
        <f>SUM(C16:C19)</f>
        <v>800000000</v>
      </c>
      <c r="D15" s="184">
        <f>SUM(D16:D19)</f>
        <v>0</v>
      </c>
      <c r="E15" s="184">
        <f>SUM(E16:E19)</f>
        <v>0</v>
      </c>
      <c r="F15" s="184">
        <f>SUM(F16:F19)</f>
        <v>800000000</v>
      </c>
      <c r="G15" s="184">
        <f>SUM(G16:G19)</f>
        <v>549622515</v>
      </c>
      <c r="H15" s="185">
        <f>+G15/F15</f>
        <v>0.68702814374999999</v>
      </c>
      <c r="I15" s="184">
        <f>SUM(I16:I19)</f>
        <v>250377485</v>
      </c>
      <c r="J15" s="184">
        <f>SUM(J16:J19)</f>
        <v>0</v>
      </c>
      <c r="K15" s="184">
        <f>SUM(K16:K19)</f>
        <v>549568725</v>
      </c>
      <c r="L15" s="185">
        <f>+K15/F15</f>
        <v>0.68696090624999995</v>
      </c>
      <c r="M15" s="184">
        <f>SUM(M16:M19)</f>
        <v>53790</v>
      </c>
    </row>
    <row r="16" spans="1:16" ht="25.5" customHeight="1" x14ac:dyDescent="0.2">
      <c r="A16" s="176" t="s">
        <v>17</v>
      </c>
      <c r="B16" s="186" t="s">
        <v>81</v>
      </c>
      <c r="C16" s="178">
        <f>+ENERGIA!A71</f>
        <v>437393000</v>
      </c>
      <c r="D16" s="178">
        <f>+ENERGIA!B71</f>
        <v>-17000000</v>
      </c>
      <c r="E16" s="178">
        <f>+ENERGIA!C71</f>
        <v>0</v>
      </c>
      <c r="F16" s="178">
        <f>+ENERGIA!D71</f>
        <v>420393000</v>
      </c>
      <c r="G16" s="178">
        <f>+ENERGIA!E71</f>
        <v>317281985</v>
      </c>
      <c r="H16" s="179">
        <f>+ENERGIA!F71</f>
        <v>0.75472708870033511</v>
      </c>
      <c r="I16" s="178">
        <f>+ENERGIA!G71</f>
        <v>103111015</v>
      </c>
      <c r="J16" s="178">
        <f>+ENERGIA!H71</f>
        <v>0</v>
      </c>
      <c r="K16" s="178">
        <f>+ENERGIA!I71</f>
        <v>317228195</v>
      </c>
      <c r="L16" s="179">
        <f>+ENERGIA!J71</f>
        <v>0.75459913699799952</v>
      </c>
      <c r="M16" s="178">
        <f>+ENERGIA!K71</f>
        <v>53790</v>
      </c>
    </row>
    <row r="17" spans="1:14" ht="25.5" customHeight="1" x14ac:dyDescent="0.2">
      <c r="A17" s="176" t="s">
        <v>19</v>
      </c>
      <c r="B17" s="186" t="s">
        <v>82</v>
      </c>
      <c r="C17" s="178">
        <f>+ACUEDUCTO!A34</f>
        <v>133412000</v>
      </c>
      <c r="D17" s="178">
        <f>+ACUEDUCTO!B34</f>
        <v>0</v>
      </c>
      <c r="E17" s="178">
        <f>+ACUEDUCTO!C34</f>
        <v>0</v>
      </c>
      <c r="F17" s="178">
        <f>+ACUEDUCTO!D34</f>
        <v>133412000</v>
      </c>
      <c r="G17" s="178">
        <f>+ACUEDUCTO!E34</f>
        <v>40277967</v>
      </c>
      <c r="H17" s="179">
        <f>+ACUEDUCTO!F34</f>
        <v>0.30190662758972209</v>
      </c>
      <c r="I17" s="178">
        <f>+ACUEDUCTO!G34</f>
        <v>93134033</v>
      </c>
      <c r="J17" s="178">
        <f>+ACUEDUCTO!H34</f>
        <v>0</v>
      </c>
      <c r="K17" s="178">
        <f>+ACUEDUCTO!I34</f>
        <v>40277967</v>
      </c>
      <c r="L17" s="179">
        <f>+ACUEDUCTO!J34</f>
        <v>0.30190662758972209</v>
      </c>
      <c r="M17" s="178">
        <f>+ACUEDUCTO!K34</f>
        <v>0</v>
      </c>
    </row>
    <row r="18" spans="1:14" ht="25.5" customHeight="1" x14ac:dyDescent="0.2">
      <c r="A18" s="176" t="s">
        <v>20</v>
      </c>
      <c r="B18" s="186" t="s">
        <v>83</v>
      </c>
      <c r="C18" s="178">
        <f>+ASEO!A36</f>
        <v>17000000</v>
      </c>
      <c r="D18" s="178">
        <f>+ASEO!B36</f>
        <v>17000000</v>
      </c>
      <c r="E18" s="178">
        <f>+ASEO!C36</f>
        <v>0</v>
      </c>
      <c r="F18" s="178">
        <f>+ASEO!D36</f>
        <v>34000000</v>
      </c>
      <c r="G18" s="178">
        <f>+ASEO!E36</f>
        <v>23341823</v>
      </c>
      <c r="H18" s="179">
        <f>+ASEO!F36</f>
        <v>0.68652420588235297</v>
      </c>
      <c r="I18" s="178">
        <f>+ASEO!G36</f>
        <v>10658177</v>
      </c>
      <c r="J18" s="178">
        <f>+ASEO!H36</f>
        <v>0</v>
      </c>
      <c r="K18" s="178">
        <f>+ASEO!I36</f>
        <v>23341823</v>
      </c>
      <c r="L18" s="179">
        <f>+ASEO!J36</f>
        <v>0.68652420588235297</v>
      </c>
      <c r="M18" s="178">
        <f>+ASEO!K36</f>
        <v>0</v>
      </c>
    </row>
    <row r="19" spans="1:14" ht="25.5" customHeight="1" x14ac:dyDescent="0.2">
      <c r="A19" s="176" t="s">
        <v>21</v>
      </c>
      <c r="B19" s="186" t="s">
        <v>84</v>
      </c>
      <c r="C19" s="178">
        <f>+TELEFONO!A34</f>
        <v>212195000</v>
      </c>
      <c r="D19" s="178">
        <f>+TELEFONO!B34</f>
        <v>0</v>
      </c>
      <c r="E19" s="178">
        <f>+TELEFONO!C34</f>
        <v>0</v>
      </c>
      <c r="F19" s="178">
        <f>+TELEFONO!D34</f>
        <v>212195000</v>
      </c>
      <c r="G19" s="178">
        <f>+TELEFONO!E34</f>
        <v>168720740</v>
      </c>
      <c r="H19" s="179">
        <f>+TELEFONO!F34</f>
        <v>0.79512118570183088</v>
      </c>
      <c r="I19" s="178">
        <f>+TELEFONO!G34</f>
        <v>43474260</v>
      </c>
      <c r="J19" s="178">
        <f>+TELEFONO!H34</f>
        <v>0</v>
      </c>
      <c r="K19" s="178">
        <f>+TELEFONO!I34</f>
        <v>168720740</v>
      </c>
      <c r="L19" s="179">
        <f>+TELEFONO!J34</f>
        <v>0.79512118570183088</v>
      </c>
      <c r="M19" s="178">
        <f>+TELEFONO!K34</f>
        <v>0</v>
      </c>
    </row>
    <row r="20" spans="1:14" ht="25.5" customHeight="1" x14ac:dyDescent="0.2">
      <c r="A20" s="176" t="s">
        <v>128</v>
      </c>
      <c r="B20" s="186" t="s">
        <v>127</v>
      </c>
      <c r="C20" s="178">
        <f>+CAPACITACIÓN!A22</f>
        <v>354083000</v>
      </c>
      <c r="D20" s="178">
        <f>+CAPACITACIÓN!B22</f>
        <v>0</v>
      </c>
      <c r="E20" s="178">
        <f>+CAPACITACIÓN!C22</f>
        <v>0</v>
      </c>
      <c r="F20" s="178">
        <f>+CAPACITACIÓN!D22</f>
        <v>354083000</v>
      </c>
      <c r="G20" s="178">
        <f>+CAPACITACIÓN!E22</f>
        <v>333438000</v>
      </c>
      <c r="H20" s="179">
        <f>+CAPACITACIÓN!F22</f>
        <v>0.9416944614680739</v>
      </c>
      <c r="I20" s="178">
        <f>+CAPACITACIÓN!G22</f>
        <v>20562000</v>
      </c>
      <c r="J20" s="178">
        <f>+CAPACITACIÓN!H22</f>
        <v>83000</v>
      </c>
      <c r="K20" s="178">
        <f>+CAPACITACIÓN!I22</f>
        <v>81872000</v>
      </c>
      <c r="L20" s="179">
        <f>+CAPACITACIÓN!J22</f>
        <v>0.2312226229443379</v>
      </c>
      <c r="M20" s="178">
        <f>+CAPACITACIÓN!K22</f>
        <v>251566000</v>
      </c>
    </row>
    <row r="21" spans="1:14" ht="25.5" customHeight="1" x14ac:dyDescent="0.2">
      <c r="A21" s="176" t="s">
        <v>22</v>
      </c>
      <c r="B21" s="186" t="s">
        <v>86</v>
      </c>
      <c r="C21" s="178">
        <f>+BIENESTAR!A77</f>
        <v>652711000</v>
      </c>
      <c r="D21" s="178">
        <f>+BIENESTAR!B77</f>
        <v>-23000000</v>
      </c>
      <c r="E21" s="178">
        <f>+BIENESTAR!C77</f>
        <v>0</v>
      </c>
      <c r="F21" s="178">
        <f>+BIENESTAR!D77</f>
        <v>629711000</v>
      </c>
      <c r="G21" s="178">
        <f>+BIENESTAR!E77</f>
        <v>565194613</v>
      </c>
      <c r="H21" s="179">
        <f>+BIENESTAR!F77</f>
        <v>0.89754603778558739</v>
      </c>
      <c r="I21" s="178">
        <f>+BIENESTAR!G77</f>
        <v>46108865</v>
      </c>
      <c r="J21" s="178">
        <f>+BIENESTAR!H77</f>
        <v>18407522</v>
      </c>
      <c r="K21" s="178">
        <f>+BIENESTAR!I77</f>
        <v>309387029</v>
      </c>
      <c r="L21" s="179">
        <f>+BIENESTAR!J77</f>
        <v>0.4913159036446878</v>
      </c>
      <c r="M21" s="178">
        <f>+BIENESTAR!K77</f>
        <v>255807584</v>
      </c>
    </row>
    <row r="22" spans="1:14" ht="25.5" customHeight="1" x14ac:dyDescent="0.2">
      <c r="A22" s="176" t="s">
        <v>23</v>
      </c>
      <c r="B22" s="186" t="s">
        <v>87</v>
      </c>
      <c r="C22" s="178">
        <f>+PROMOCIÓN!A24</f>
        <v>200000000</v>
      </c>
      <c r="D22" s="178">
        <f>+PROMOCIÓN!B24</f>
        <v>0</v>
      </c>
      <c r="E22" s="178">
        <f>+PROMOCIÓN!C24</f>
        <v>0</v>
      </c>
      <c r="F22" s="178">
        <f>+PROMOCIÓN!D24</f>
        <v>200000000</v>
      </c>
      <c r="G22" s="178">
        <f>+PROMOCIÓN!E24</f>
        <v>180000000</v>
      </c>
      <c r="H22" s="179">
        <f>+PROMOCIÓN!F24</f>
        <v>0.9</v>
      </c>
      <c r="I22" s="178">
        <f>+PROMOCIÓN!G24</f>
        <v>0</v>
      </c>
      <c r="J22" s="178">
        <f>+PROMOCIÓN!H24</f>
        <v>20000000</v>
      </c>
      <c r="K22" s="178">
        <f>+PROMOCIÓN!I24</f>
        <v>62001839</v>
      </c>
      <c r="L22" s="179">
        <f>+PROMOCIÓN!J24</f>
        <v>0.31000919500000002</v>
      </c>
      <c r="M22" s="178">
        <f>+PROMOCIÓN!K24</f>
        <v>117998161</v>
      </c>
    </row>
    <row r="23" spans="1:14" ht="25.5" customHeight="1" x14ac:dyDescent="0.2">
      <c r="A23" s="176" t="s">
        <v>24</v>
      </c>
      <c r="B23" s="186" t="s">
        <v>88</v>
      </c>
      <c r="C23" s="178">
        <f>+'SALUD OCU.'!A29</f>
        <v>300000000</v>
      </c>
      <c r="D23" s="178">
        <f>+'SALUD OCU.'!B29</f>
        <v>157750000</v>
      </c>
      <c r="E23" s="178">
        <f>+'SALUD OCU.'!C29</f>
        <v>0</v>
      </c>
      <c r="F23" s="178">
        <f>+'SALUD OCU.'!D29</f>
        <v>457750000</v>
      </c>
      <c r="G23" s="178">
        <f>+'SALUD OCU.'!E29</f>
        <v>225498458</v>
      </c>
      <c r="H23" s="179">
        <f>+'SALUD OCU.'!F29</f>
        <v>0.49262361114145276</v>
      </c>
      <c r="I23" s="178">
        <f>+'SALUD OCU.'!G29</f>
        <v>231750000</v>
      </c>
      <c r="J23" s="178">
        <f>+'SALUD OCU.'!H29</f>
        <v>501542</v>
      </c>
      <c r="K23" s="178">
        <f>+'SALUD OCU.'!I29</f>
        <v>162120297</v>
      </c>
      <c r="L23" s="179">
        <f>+'SALUD OCU.'!J29</f>
        <v>0.3541677706171491</v>
      </c>
      <c r="M23" s="178">
        <f>+'SALUD OCU.'!K29</f>
        <v>63378161</v>
      </c>
    </row>
    <row r="24" spans="1:14" ht="25.5" customHeight="1" x14ac:dyDescent="0.2">
      <c r="A24" s="182" t="s">
        <v>138</v>
      </c>
      <c r="B24" s="183" t="s">
        <v>137</v>
      </c>
      <c r="C24" s="184">
        <f>SUM(C25:C26)</f>
        <v>208120000</v>
      </c>
      <c r="D24" s="184">
        <f>SUM(D25:D26)</f>
        <v>494140656</v>
      </c>
      <c r="E24" s="184">
        <f>SUM(E25:E26)</f>
        <v>0</v>
      </c>
      <c r="F24" s="184">
        <f>SUM(F25:F26)</f>
        <v>702260656</v>
      </c>
      <c r="G24" s="184">
        <f>SUM(G25:G26)</f>
        <v>505681348</v>
      </c>
      <c r="H24" s="185">
        <f>+G24/F24</f>
        <v>0.72007643270278832</v>
      </c>
      <c r="I24" s="184">
        <f>SUM(I25:I26)</f>
        <v>4641562</v>
      </c>
      <c r="J24" s="184">
        <f>SUM(J25:J26)</f>
        <v>191937746</v>
      </c>
      <c r="K24" s="184">
        <f>SUM(K25:K26)</f>
        <v>505681348</v>
      </c>
      <c r="L24" s="185">
        <f>+K24/F24</f>
        <v>0.72007643270278832</v>
      </c>
      <c r="M24" s="184">
        <f>SUM(M25:M26)</f>
        <v>0</v>
      </c>
    </row>
    <row r="25" spans="1:14" ht="25.5" customHeight="1" x14ac:dyDescent="0.2">
      <c r="A25" s="176" t="s">
        <v>90</v>
      </c>
      <c r="B25" s="186" t="s">
        <v>91</v>
      </c>
      <c r="C25" s="178">
        <f>+SENTENCIAS!A23</f>
        <v>206000000</v>
      </c>
      <c r="D25" s="178">
        <f>+SENTENCIAS!B23</f>
        <v>486328236</v>
      </c>
      <c r="E25" s="178">
        <f>+SENTENCIAS!C23</f>
        <v>0</v>
      </c>
      <c r="F25" s="178">
        <f>+SENTENCIAS!D23</f>
        <v>692328236</v>
      </c>
      <c r="G25" s="178">
        <f>+SENTENCIAS!E23</f>
        <v>496815240</v>
      </c>
      <c r="H25" s="179">
        <f>+SENTENCIAS!F23</f>
        <v>0.71760071909012824</v>
      </c>
      <c r="I25" s="178">
        <f>+SENTENCIAS!G23</f>
        <v>4000000</v>
      </c>
      <c r="J25" s="181">
        <f>+SENTENCIAS!H23</f>
        <v>191512996</v>
      </c>
      <c r="K25" s="178">
        <f>+SENTENCIAS!I23</f>
        <v>496815240</v>
      </c>
      <c r="L25" s="179">
        <f>+SENTENCIAS!J23</f>
        <v>0.71760071909012824</v>
      </c>
      <c r="M25" s="178">
        <f>+SENTENCIAS!K23</f>
        <v>0</v>
      </c>
    </row>
    <row r="26" spans="1:14" ht="25.5" customHeight="1" x14ac:dyDescent="0.2">
      <c r="A26" s="176" t="s">
        <v>25</v>
      </c>
      <c r="B26" s="186" t="s">
        <v>89</v>
      </c>
      <c r="C26" s="178">
        <f>+'IMPUESTOS, TASAS'!A28</f>
        <v>2120000</v>
      </c>
      <c r="D26" s="178">
        <f>+'IMPUESTOS, TASAS'!B28</f>
        <v>7812420</v>
      </c>
      <c r="E26" s="178">
        <f>+'IMPUESTOS, TASAS'!C28</f>
        <v>0</v>
      </c>
      <c r="F26" s="178">
        <f>+'IMPUESTOS, TASAS'!D28</f>
        <v>9932420</v>
      </c>
      <c r="G26" s="178">
        <f>+'IMPUESTOS, TASAS'!E28</f>
        <v>8866108</v>
      </c>
      <c r="H26" s="179">
        <f>+'IMPUESTOS, TASAS'!F28</f>
        <v>0.89264328330859954</v>
      </c>
      <c r="I26" s="178">
        <f>+'IMPUESTOS, TASAS'!G28</f>
        <v>641562</v>
      </c>
      <c r="J26" s="181">
        <f>+'IMPUESTOS, TASAS'!H28</f>
        <v>424750</v>
      </c>
      <c r="K26" s="178">
        <f>+'IMPUESTOS, TASAS'!I28</f>
        <v>8866108</v>
      </c>
      <c r="L26" s="179">
        <f>+'IMPUESTOS, TASAS'!J28</f>
        <v>0.89264328330859954</v>
      </c>
      <c r="M26" s="178">
        <f>+'IMPUESTOS, TASAS'!K28</f>
        <v>0</v>
      </c>
    </row>
    <row r="27" spans="1:14" ht="25.5" customHeight="1" x14ac:dyDescent="0.2">
      <c r="A27" s="187" t="s">
        <v>119</v>
      </c>
      <c r="B27" s="188" t="s">
        <v>65</v>
      </c>
      <c r="C27" s="189">
        <f>+C3+C8+C24</f>
        <v>12328530000</v>
      </c>
      <c r="D27" s="189">
        <f>+D3+D8+D24</f>
        <v>486328236</v>
      </c>
      <c r="E27" s="189">
        <f>+E3+E8+E24</f>
        <v>0</v>
      </c>
      <c r="F27" s="189">
        <f>+F3+F8+F24</f>
        <v>12814858236</v>
      </c>
      <c r="G27" s="189">
        <f>+G3+G8+G24</f>
        <v>10520445866</v>
      </c>
      <c r="H27" s="190">
        <f>+G27/F27</f>
        <v>0.82095686680680968</v>
      </c>
      <c r="I27" s="189">
        <f>+I3+I8+I24</f>
        <v>783805900</v>
      </c>
      <c r="J27" s="189">
        <f>+J3+J8+J24</f>
        <v>1510606470</v>
      </c>
      <c r="K27" s="189">
        <f>+K3+K8+K24</f>
        <v>7063904492</v>
      </c>
      <c r="L27" s="190">
        <f>+K27/F27</f>
        <v>0.55122767352632929</v>
      </c>
      <c r="M27" s="191">
        <f>+M3+M8+M24</f>
        <v>3456541374</v>
      </c>
      <c r="N27" s="343">
        <f>4246039462-M27</f>
        <v>789498088</v>
      </c>
    </row>
    <row r="28" spans="1:14" ht="25.5" customHeight="1" x14ac:dyDescent="0.2">
      <c r="A28" s="192" t="s">
        <v>120</v>
      </c>
      <c r="B28" s="193" t="s">
        <v>63</v>
      </c>
      <c r="C28" s="194">
        <f>SUM(C29:C33)</f>
        <v>85080455000</v>
      </c>
      <c r="D28" s="194">
        <f>SUM(D29:D33)</f>
        <v>-486328236</v>
      </c>
      <c r="E28" s="194">
        <f>SUM(E29:E33)</f>
        <v>0</v>
      </c>
      <c r="F28" s="194">
        <f>SUM(F29:F33)</f>
        <v>84594126764</v>
      </c>
      <c r="G28" s="194">
        <f>SUM(G29:G33)</f>
        <v>60682602345</v>
      </c>
      <c r="H28" s="195">
        <f>+G28/F28</f>
        <v>0.71733824399289359</v>
      </c>
      <c r="I28" s="194">
        <f>SUM(I29:I33)</f>
        <v>78918901</v>
      </c>
      <c r="J28" s="194">
        <f>SUM(J29:J33)</f>
        <v>23832605518</v>
      </c>
      <c r="K28" s="194">
        <f>SUM(K29:K33)</f>
        <v>60640904627</v>
      </c>
      <c r="L28" s="195">
        <f>+K28/F28</f>
        <v>0.71684532894553654</v>
      </c>
      <c r="M28" s="194">
        <f>SUM(M29:M33)</f>
        <v>41697718</v>
      </c>
    </row>
    <row r="29" spans="1:14" ht="25.5" customHeight="1" x14ac:dyDescent="0.2">
      <c r="A29" s="192" t="s">
        <v>121</v>
      </c>
      <c r="B29" s="177" t="s">
        <v>93</v>
      </c>
      <c r="C29" s="196">
        <f>+NOMINA!A38</f>
        <v>62534631000</v>
      </c>
      <c r="D29" s="196">
        <f>+NOMINA!B38</f>
        <v>-486328236</v>
      </c>
      <c r="E29" s="196">
        <f>+NOMINA!C38</f>
        <v>0</v>
      </c>
      <c r="F29" s="196">
        <f>+NOMINA!D38</f>
        <v>62048302764</v>
      </c>
      <c r="G29" s="196">
        <f>+NOMINA!E38</f>
        <v>47579693032</v>
      </c>
      <c r="H29" s="197">
        <f>+NOMINA!F38</f>
        <v>0.76681699438208339</v>
      </c>
      <c r="I29" s="196">
        <f>+NOMINA!G38</f>
        <v>72804850</v>
      </c>
      <c r="J29" s="196">
        <f>+NOMINA!H38</f>
        <v>14395804882</v>
      </c>
      <c r="K29" s="196">
        <f>+NOMINA!I38</f>
        <v>47579629314</v>
      </c>
      <c r="L29" s="197">
        <f>+NOMINA!J38</f>
        <v>0.76681596747244751</v>
      </c>
      <c r="M29" s="196">
        <f>+NOMINA!K38</f>
        <v>63718</v>
      </c>
    </row>
    <row r="30" spans="1:14" ht="25.5" customHeight="1" x14ac:dyDescent="0.2">
      <c r="A30" s="192" t="s">
        <v>123</v>
      </c>
      <c r="B30" s="177" t="s">
        <v>94</v>
      </c>
      <c r="C30" s="196">
        <f>+HONORARIOS!A32</f>
        <v>562489000</v>
      </c>
      <c r="D30" s="196">
        <f>+HONORARIOS!B32</f>
        <v>0</v>
      </c>
      <c r="E30" s="196">
        <f>+HONORARIOS!C32</f>
        <v>0</v>
      </c>
      <c r="F30" s="196">
        <f>+HONORARIOS!D32</f>
        <v>562489000</v>
      </c>
      <c r="G30" s="196">
        <f>+HONORARIOS!E32</f>
        <v>415497000</v>
      </c>
      <c r="H30" s="197">
        <f>+HONORARIOS!F32</f>
        <v>0.73867577854855826</v>
      </c>
      <c r="I30" s="196">
        <f>+HONORARIOS!G32</f>
        <v>5300000</v>
      </c>
      <c r="J30" s="196">
        <f>+HONORARIOS!H32</f>
        <v>141692000</v>
      </c>
      <c r="K30" s="196">
        <f>+HONORARIOS!I32</f>
        <v>378113000</v>
      </c>
      <c r="L30" s="197">
        <f>+HONORARIOS!J32</f>
        <v>0.67221403440778393</v>
      </c>
      <c r="M30" s="196">
        <f>+HONORARIOS!K32</f>
        <v>37384000</v>
      </c>
    </row>
    <row r="31" spans="1:14" ht="25.5" customHeight="1" x14ac:dyDescent="0.2">
      <c r="A31" s="192" t="s">
        <v>149</v>
      </c>
      <c r="B31" s="177" t="s">
        <v>150</v>
      </c>
      <c r="C31" s="196">
        <f>+'R.S.T.'!A20</f>
        <v>27192000</v>
      </c>
      <c r="D31" s="196">
        <f>+'R.S.T.'!B20</f>
        <v>0</v>
      </c>
      <c r="E31" s="196">
        <f>+'R.S.T.'!C20</f>
        <v>0</v>
      </c>
      <c r="F31" s="196">
        <f>+'R.S.T.'!D20</f>
        <v>27192000</v>
      </c>
      <c r="G31" s="196">
        <f>+'R.S.T.'!E20</f>
        <v>26916667</v>
      </c>
      <c r="H31" s="197">
        <f>+'R.S.T.'!F20</f>
        <v>0.98987448514268905</v>
      </c>
      <c r="I31" s="196">
        <f>+'R.S.T.'!G20</f>
        <v>0</v>
      </c>
      <c r="J31" s="196">
        <f>+'R.S.T.'!H20</f>
        <v>275333</v>
      </c>
      <c r="K31" s="196">
        <f>+'R.S.T.'!I20</f>
        <v>22666667</v>
      </c>
      <c r="L31" s="197">
        <f>+'R.S.T.'!J20</f>
        <v>0.83357851573992348</v>
      </c>
      <c r="M31" s="196">
        <f>+'R.S.T.'!K20</f>
        <v>4250000</v>
      </c>
    </row>
    <row r="32" spans="1:14" ht="25.5" customHeight="1" x14ac:dyDescent="0.2">
      <c r="A32" s="192" t="s">
        <v>157</v>
      </c>
      <c r="B32" s="177" t="s">
        <v>159</v>
      </c>
      <c r="C32" s="196">
        <f>+'OTROS GASTOS PERSONAL'!A19</f>
        <v>249391000</v>
      </c>
      <c r="D32" s="196">
        <f>+'OTROS GASTOS PERSONAL'!B19</f>
        <v>0</v>
      </c>
      <c r="E32" s="196">
        <f>+'OTROS GASTOS PERSONAL'!C19</f>
        <v>0</v>
      </c>
      <c r="F32" s="196">
        <f>+'OTROS GASTOS PERSONAL'!D19</f>
        <v>249391000</v>
      </c>
      <c r="G32" s="196">
        <f>+'OTROS GASTOS PERSONAL'!E19</f>
        <v>0</v>
      </c>
      <c r="H32" s="197">
        <f>+'OTROS GASTOS PERSONAL'!F19</f>
        <v>0</v>
      </c>
      <c r="I32" s="196">
        <f>+'OTROS GASTOS PERSONAL'!G19</f>
        <v>0</v>
      </c>
      <c r="J32" s="196">
        <f>+'OTROS GASTOS PERSONAL'!H19</f>
        <v>249391000</v>
      </c>
      <c r="K32" s="196">
        <f>+'OTROS GASTOS PERSONAL'!I19</f>
        <v>0</v>
      </c>
      <c r="L32" s="196">
        <f>+'OTROS GASTOS PERSONAL'!J19</f>
        <v>0</v>
      </c>
      <c r="M32" s="196">
        <f>+'OTROS GASTOS PERSONAL'!K19</f>
        <v>0</v>
      </c>
    </row>
    <row r="33" spans="1:14" ht="25.5" customHeight="1" x14ac:dyDescent="0.2">
      <c r="A33" s="192" t="s">
        <v>122</v>
      </c>
      <c r="B33" s="177" t="s">
        <v>64</v>
      </c>
      <c r="C33" s="196">
        <f>+APORTES!A54</f>
        <v>21706752000</v>
      </c>
      <c r="D33" s="196">
        <f>+APORTES!B54</f>
        <v>0</v>
      </c>
      <c r="E33" s="196">
        <f>+APORTES!C54</f>
        <v>0</v>
      </c>
      <c r="F33" s="196">
        <f>+APORTES!D54</f>
        <v>21706752000</v>
      </c>
      <c r="G33" s="196">
        <f>+APORTES!E54</f>
        <v>12660495646</v>
      </c>
      <c r="H33" s="197">
        <f>+APORTES!F54</f>
        <v>0.58325149916486818</v>
      </c>
      <c r="I33" s="196">
        <f>+APORTES!G54</f>
        <v>814051</v>
      </c>
      <c r="J33" s="196">
        <f>+APORTES!H54</f>
        <v>9045442303</v>
      </c>
      <c r="K33" s="196">
        <f>+APORTES!I54</f>
        <v>12660495646</v>
      </c>
      <c r="L33" s="197">
        <f>+APORTES!J54</f>
        <v>0.58325149916486818</v>
      </c>
      <c r="M33" s="196">
        <f>+APORTES!K54</f>
        <v>0</v>
      </c>
    </row>
    <row r="34" spans="1:14" ht="25.5" customHeight="1" x14ac:dyDescent="0.2">
      <c r="A34" s="192" t="s">
        <v>151</v>
      </c>
      <c r="B34" s="177" t="s">
        <v>152</v>
      </c>
      <c r="C34" s="196">
        <f>+PASIVOS!A19</f>
        <v>0</v>
      </c>
      <c r="D34" s="196">
        <f>+PASIVOS!B19</f>
        <v>0</v>
      </c>
      <c r="E34" s="196">
        <f>+PASIVOS!C19</f>
        <v>0</v>
      </c>
      <c r="F34" s="196">
        <f>+PASIVOS!D19</f>
        <v>0</v>
      </c>
      <c r="G34" s="196">
        <f>+PASIVOS!E19</f>
        <v>0</v>
      </c>
      <c r="H34" s="179">
        <f>+PASIVOS!F19</f>
        <v>0</v>
      </c>
      <c r="I34" s="196">
        <f>+PASIVOS!G19</f>
        <v>0</v>
      </c>
      <c r="J34" s="196">
        <f>+PASIVOS!H19</f>
        <v>0</v>
      </c>
      <c r="K34" s="196">
        <f>+PASIVOS!I19</f>
        <v>0</v>
      </c>
      <c r="L34" s="179">
        <f>+PASIVOS!J19</f>
        <v>0</v>
      </c>
      <c r="M34" s="196">
        <f>+PASIVOS!K19</f>
        <v>0</v>
      </c>
    </row>
    <row r="35" spans="1:14" ht="25.5" customHeight="1" x14ac:dyDescent="0.2">
      <c r="A35" s="198" t="s">
        <v>124</v>
      </c>
      <c r="B35" s="199" t="s">
        <v>66</v>
      </c>
      <c r="C35" s="200">
        <f>+C27+C28+C34</f>
        <v>97408985000</v>
      </c>
      <c r="D35" s="200">
        <f>+D27+D28+D34</f>
        <v>0</v>
      </c>
      <c r="E35" s="200">
        <f>+E27+E28+E34</f>
        <v>0</v>
      </c>
      <c r="F35" s="200">
        <f>+F27+F28+F34</f>
        <v>97408985000</v>
      </c>
      <c r="G35" s="201">
        <f>+G27+G28+G34</f>
        <v>71203048211</v>
      </c>
      <c r="H35" s="202">
        <f>+G35/F35</f>
        <v>0.73097002510600029</v>
      </c>
      <c r="I35" s="203">
        <f>+I27+I28+I34</f>
        <v>862724801</v>
      </c>
      <c r="J35" s="200">
        <f>+J27+J28+J34</f>
        <v>25343211988</v>
      </c>
      <c r="K35" s="204">
        <f>+K27+K28+K34</f>
        <v>67704809119</v>
      </c>
      <c r="L35" s="202">
        <f>+K35/F35</f>
        <v>0.69505712557214305</v>
      </c>
      <c r="M35" s="200">
        <f>+M27+M28+M34</f>
        <v>3498239092</v>
      </c>
    </row>
    <row r="37" spans="1:14" x14ac:dyDescent="0.2">
      <c r="C37" s="207"/>
      <c r="D37" s="207"/>
      <c r="E37" s="207"/>
      <c r="F37" s="207"/>
      <c r="G37" s="207"/>
      <c r="H37" s="207"/>
      <c r="I37" s="207"/>
      <c r="J37" s="207"/>
      <c r="K37" s="207"/>
      <c r="L37" s="207"/>
      <c r="M37" s="207"/>
      <c r="N37" s="207"/>
    </row>
    <row r="38" spans="1:14" x14ac:dyDescent="0.2">
      <c r="C38" s="207"/>
      <c r="D38" s="207"/>
      <c r="E38" s="207"/>
      <c r="F38" s="207"/>
      <c r="G38" s="207"/>
      <c r="H38" s="207"/>
      <c r="I38" s="207"/>
      <c r="J38" s="207"/>
      <c r="K38" s="207"/>
      <c r="L38" s="207"/>
      <c r="M38" s="207"/>
      <c r="N38" s="207"/>
    </row>
    <row r="39" spans="1:14" x14ac:dyDescent="0.2">
      <c r="C39" s="207"/>
      <c r="D39" s="207"/>
      <c r="E39" s="207"/>
      <c r="F39" s="207"/>
      <c r="G39" s="207"/>
      <c r="H39" s="207"/>
      <c r="I39" s="207"/>
      <c r="J39" s="207"/>
      <c r="K39" s="207"/>
      <c r="L39" s="207"/>
      <c r="M39" s="207"/>
      <c r="N39" s="207"/>
    </row>
    <row r="41" spans="1:14" x14ac:dyDescent="0.2">
      <c r="C41" s="207"/>
      <c r="D41" s="207"/>
      <c r="E41" s="207"/>
      <c r="F41" s="207"/>
      <c r="G41" s="207"/>
      <c r="H41" s="207"/>
      <c r="I41" s="207"/>
      <c r="J41" s="207"/>
      <c r="K41" s="207"/>
      <c r="L41" s="207"/>
      <c r="M41" s="207"/>
    </row>
    <row r="44" spans="1:14" x14ac:dyDescent="0.2">
      <c r="M44" s="207"/>
    </row>
    <row r="47" spans="1:14" x14ac:dyDescent="0.2">
      <c r="J47" s="167" t="s">
        <v>129</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95</v>
      </c>
      <c r="C1" s="1"/>
      <c r="D1" s="1"/>
      <c r="E1" s="1"/>
      <c r="F1" s="1"/>
      <c r="G1" s="1"/>
      <c r="H1" s="1"/>
    </row>
    <row r="2" spans="1:8" x14ac:dyDescent="0.25">
      <c r="A2" s="1"/>
      <c r="B2" s="2" t="s">
        <v>43</v>
      </c>
      <c r="C2" s="1"/>
      <c r="D2" s="1"/>
      <c r="E2" s="1"/>
      <c r="F2" s="1"/>
      <c r="G2" s="1"/>
      <c r="H2" s="1"/>
    </row>
    <row r="3" spans="1:8" x14ac:dyDescent="0.25">
      <c r="A3" s="1"/>
      <c r="B3" s="2" t="s">
        <v>44</v>
      </c>
      <c r="C3" s="1"/>
      <c r="D3" s="1"/>
      <c r="E3" s="1"/>
      <c r="F3" s="1"/>
      <c r="G3" s="1"/>
      <c r="H3" s="1"/>
    </row>
    <row r="4" spans="1:8" ht="20.100000000000001" customHeight="1" x14ac:dyDescent="0.25">
      <c r="A4" s="1"/>
      <c r="B4" s="1"/>
      <c r="C4" s="160" t="s">
        <v>144</v>
      </c>
      <c r="H4" s="1"/>
    </row>
    <row r="5" spans="1:8" ht="30" customHeight="1" x14ac:dyDescent="0.25">
      <c r="A5" s="5" t="s">
        <v>55</v>
      </c>
      <c r="B5" s="5" t="s">
        <v>67</v>
      </c>
      <c r="C5" s="6" t="s">
        <v>139</v>
      </c>
      <c r="D5" s="6" t="s">
        <v>140</v>
      </c>
      <c r="E5" s="6" t="s">
        <v>141</v>
      </c>
      <c r="F5" s="6" t="s">
        <v>143</v>
      </c>
      <c r="G5" s="6" t="s">
        <v>142</v>
      </c>
      <c r="H5" s="6" t="s">
        <v>143</v>
      </c>
    </row>
    <row r="6" spans="1:8" ht="24.95" customHeight="1" x14ac:dyDescent="0.25">
      <c r="A6" s="7" t="s">
        <v>8</v>
      </c>
      <c r="B6" s="8" t="s">
        <v>5</v>
      </c>
      <c r="C6" s="23">
        <f t="shared" ref="C6:H6" si="0">SUM(C7:C10)</f>
        <v>4184996000</v>
      </c>
      <c r="D6" s="23">
        <f t="shared" si="0"/>
        <v>1017020184.09</v>
      </c>
      <c r="E6" s="23">
        <f t="shared" si="0"/>
        <v>836999200</v>
      </c>
      <c r="F6" s="23">
        <f t="shared" si="0"/>
        <v>3347996800</v>
      </c>
      <c r="G6" s="23">
        <f t="shared" si="0"/>
        <v>1046249000</v>
      </c>
      <c r="H6" s="23">
        <f t="shared" si="0"/>
        <v>3138747000</v>
      </c>
    </row>
    <row r="7" spans="1:8" ht="24.95" customHeight="1" x14ac:dyDescent="0.25">
      <c r="A7" s="9" t="s">
        <v>7</v>
      </c>
      <c r="B7" s="10" t="s">
        <v>73</v>
      </c>
      <c r="C7" s="24">
        <f>+DOTACION!A24</f>
        <v>50000000</v>
      </c>
      <c r="D7" s="24">
        <v>266514177</v>
      </c>
      <c r="E7" s="24">
        <f t="shared" ref="E7:E21" si="1">+C7*20%</f>
        <v>10000000</v>
      </c>
      <c r="F7" s="24">
        <f>+C7-E7</f>
        <v>40000000</v>
      </c>
      <c r="G7" s="24">
        <f>+C7*25%</f>
        <v>12500000</v>
      </c>
      <c r="H7" s="24">
        <f>+C7-G7</f>
        <v>37500000</v>
      </c>
    </row>
    <row r="8" spans="1:8" ht="24.95" customHeight="1" x14ac:dyDescent="0.25">
      <c r="A8" s="9" t="s">
        <v>9</v>
      </c>
      <c r="B8" s="10" t="s">
        <v>74</v>
      </c>
      <c r="C8" s="24">
        <f>+'GASTOS DE COMPUTADOR'!A34</f>
        <v>3594000000</v>
      </c>
      <c r="D8" s="24">
        <v>541863215.74000001</v>
      </c>
      <c r="E8" s="161">
        <f t="shared" si="1"/>
        <v>718800000</v>
      </c>
      <c r="F8" s="24">
        <f t="shared" ref="F8:F34" si="2">+C8-E8</f>
        <v>2875200000</v>
      </c>
      <c r="G8" s="24">
        <f t="shared" ref="G8:G22" si="3">+C8*25%</f>
        <v>898500000</v>
      </c>
      <c r="H8" s="24">
        <f>+C8-G8</f>
        <v>2695500000</v>
      </c>
    </row>
    <row r="9" spans="1:8" ht="24.95" customHeight="1" x14ac:dyDescent="0.25">
      <c r="A9" s="9" t="s">
        <v>10</v>
      </c>
      <c r="B9" s="10" t="s">
        <v>75</v>
      </c>
      <c r="C9" s="24">
        <f>+'COM, LUBRICAN, Y LLANTAS'!A24</f>
        <v>84996000</v>
      </c>
      <c r="D9" s="24">
        <v>57133301</v>
      </c>
      <c r="E9" s="24">
        <f t="shared" si="1"/>
        <v>16999200</v>
      </c>
      <c r="F9" s="24">
        <f t="shared" si="2"/>
        <v>67996800</v>
      </c>
      <c r="G9" s="24">
        <f t="shared" si="3"/>
        <v>21249000</v>
      </c>
      <c r="H9" s="24">
        <f>+C9-G9</f>
        <v>63747000</v>
      </c>
    </row>
    <row r="10" spans="1:8" ht="24.95" customHeight="1" x14ac:dyDescent="0.25">
      <c r="A10" s="9" t="s">
        <v>11</v>
      </c>
      <c r="B10" s="10" t="s">
        <v>76</v>
      </c>
      <c r="C10" s="24">
        <f>+'MATERIALES Y SUMINISTROS'!A30</f>
        <v>456000000</v>
      </c>
      <c r="D10" s="24">
        <v>151509490.34999999</v>
      </c>
      <c r="E10" s="24">
        <f t="shared" si="1"/>
        <v>91200000</v>
      </c>
      <c r="F10" s="24">
        <f t="shared" si="2"/>
        <v>364800000</v>
      </c>
      <c r="G10" s="24">
        <f t="shared" si="3"/>
        <v>114000000</v>
      </c>
      <c r="H10" s="24">
        <f>+C10-G10</f>
        <v>342000000</v>
      </c>
    </row>
    <row r="11" spans="1:8" ht="24.95" customHeight="1" x14ac:dyDescent="0.25">
      <c r="A11" s="12" t="s">
        <v>12</v>
      </c>
      <c r="B11" s="13" t="s">
        <v>6</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135</v>
      </c>
      <c r="B12" s="10" t="s">
        <v>136</v>
      </c>
      <c r="C12" s="24">
        <f>+ARRENDAMIENTOS!A25</f>
        <v>358000000</v>
      </c>
      <c r="D12" s="24">
        <v>27363048</v>
      </c>
      <c r="E12" s="24">
        <f t="shared" si="1"/>
        <v>71600000</v>
      </c>
      <c r="F12" s="24">
        <f t="shared" si="2"/>
        <v>286400000</v>
      </c>
      <c r="G12" s="24">
        <f t="shared" si="3"/>
        <v>89500000</v>
      </c>
      <c r="H12" s="24">
        <f>+C12-G12</f>
        <v>268500000</v>
      </c>
    </row>
    <row r="13" spans="1:8" ht="24.95" customHeight="1" x14ac:dyDescent="0.25">
      <c r="A13" s="9" t="s">
        <v>13</v>
      </c>
      <c r="B13" s="10" t="s">
        <v>77</v>
      </c>
      <c r="C13" s="24">
        <f>+'GASTOS DE TRANS, Y COMUNICA'!A60</f>
        <v>1626204000</v>
      </c>
      <c r="D13" s="11">
        <v>593143381.74000001</v>
      </c>
      <c r="E13" s="24">
        <f t="shared" si="1"/>
        <v>325240800</v>
      </c>
      <c r="F13" s="24">
        <f t="shared" si="2"/>
        <v>1300963200</v>
      </c>
      <c r="G13" s="24">
        <f t="shared" si="3"/>
        <v>406551000</v>
      </c>
      <c r="H13" s="24">
        <f>+C13-G13</f>
        <v>1219653000</v>
      </c>
    </row>
    <row r="14" spans="1:8" ht="24.95" customHeight="1" x14ac:dyDescent="0.25">
      <c r="A14" s="9" t="s">
        <v>14</v>
      </c>
      <c r="B14" s="10" t="s">
        <v>78</v>
      </c>
      <c r="C14" s="24">
        <f>+'IMPRESOS Y PUBLICACIÓN'!A30</f>
        <v>84000000</v>
      </c>
      <c r="D14" s="24">
        <v>107003600</v>
      </c>
      <c r="E14" s="24">
        <f t="shared" si="1"/>
        <v>16800000</v>
      </c>
      <c r="F14" s="24">
        <f t="shared" si="2"/>
        <v>67200000</v>
      </c>
      <c r="G14" s="24">
        <f t="shared" si="3"/>
        <v>21000000</v>
      </c>
      <c r="H14" s="24">
        <f>+C14-G14</f>
        <v>63000000</v>
      </c>
    </row>
    <row r="15" spans="1:8" ht="24.95" customHeight="1" x14ac:dyDescent="0.25">
      <c r="A15" s="9" t="s">
        <v>15</v>
      </c>
      <c r="B15" s="10" t="s">
        <v>79</v>
      </c>
      <c r="C15" s="24">
        <f>+'MANTENIMIENTO ENTIDAD'!A39</f>
        <v>2707000000</v>
      </c>
      <c r="D15" s="11">
        <v>704880523.60000002</v>
      </c>
      <c r="E15" s="24">
        <f t="shared" si="1"/>
        <v>541400000</v>
      </c>
      <c r="F15" s="24">
        <f t="shared" si="2"/>
        <v>2165600000</v>
      </c>
      <c r="G15" s="24">
        <f t="shared" si="3"/>
        <v>676750000</v>
      </c>
      <c r="H15" s="24">
        <f>+C15-G15</f>
        <v>2030250000</v>
      </c>
    </row>
    <row r="16" spans="1:8" ht="24.95" customHeight="1" x14ac:dyDescent="0.25">
      <c r="A16" s="9" t="s">
        <v>16</v>
      </c>
      <c r="B16" s="10" t="s">
        <v>80</v>
      </c>
      <c r="C16" s="24">
        <f>+'SEGUROS ENTIDAD'!A23</f>
        <v>843416000</v>
      </c>
      <c r="D16" s="24">
        <v>6160723</v>
      </c>
      <c r="E16" s="24">
        <f t="shared" si="1"/>
        <v>168683200</v>
      </c>
      <c r="F16" s="24">
        <f t="shared" si="2"/>
        <v>674732800</v>
      </c>
      <c r="G16" s="24">
        <f t="shared" si="3"/>
        <v>210854000</v>
      </c>
      <c r="H16" s="24">
        <f>+C16-G16</f>
        <v>632562000</v>
      </c>
    </row>
    <row r="17" spans="1:8" ht="24.95" customHeight="1" x14ac:dyDescent="0.25">
      <c r="A17" s="12" t="s">
        <v>18</v>
      </c>
      <c r="B17" s="13" t="s">
        <v>51</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17</v>
      </c>
      <c r="B18" s="15" t="s">
        <v>81</v>
      </c>
      <c r="C18" s="24">
        <f>+ENERGIA!A71</f>
        <v>437393000</v>
      </c>
      <c r="D18" s="24">
        <v>0</v>
      </c>
      <c r="E18" s="24">
        <f t="shared" si="1"/>
        <v>87478600</v>
      </c>
      <c r="F18" s="24">
        <f t="shared" si="2"/>
        <v>349914400</v>
      </c>
      <c r="G18" s="24">
        <f t="shared" si="3"/>
        <v>109348250</v>
      </c>
      <c r="H18" s="24">
        <f t="shared" ref="H18:H26" si="6">+C18-G18</f>
        <v>328044750</v>
      </c>
    </row>
    <row r="19" spans="1:8" ht="24.95" customHeight="1" x14ac:dyDescent="0.25">
      <c r="A19" s="9" t="s">
        <v>19</v>
      </c>
      <c r="B19" s="15" t="s">
        <v>82</v>
      </c>
      <c r="C19" s="24">
        <f>+ACUEDUCTO!A34</f>
        <v>133412000</v>
      </c>
      <c r="D19" s="24">
        <v>0</v>
      </c>
      <c r="E19" s="24">
        <f t="shared" si="1"/>
        <v>26682400</v>
      </c>
      <c r="F19" s="24">
        <f t="shared" si="2"/>
        <v>106729600</v>
      </c>
      <c r="G19" s="24">
        <f t="shared" si="3"/>
        <v>33353000</v>
      </c>
      <c r="H19" s="24">
        <f t="shared" si="6"/>
        <v>100059000</v>
      </c>
    </row>
    <row r="20" spans="1:8" ht="24.95" customHeight="1" x14ac:dyDescent="0.25">
      <c r="A20" s="9" t="s">
        <v>20</v>
      </c>
      <c r="B20" s="15" t="s">
        <v>83</v>
      </c>
      <c r="C20" s="24">
        <f>+ASEO!A36</f>
        <v>17000000</v>
      </c>
      <c r="D20" s="24">
        <v>0</v>
      </c>
      <c r="E20" s="24">
        <f t="shared" si="1"/>
        <v>3400000</v>
      </c>
      <c r="F20" s="24">
        <f t="shared" si="2"/>
        <v>13600000</v>
      </c>
      <c r="G20" s="24">
        <f t="shared" si="3"/>
        <v>4250000</v>
      </c>
      <c r="H20" s="24">
        <f t="shared" si="6"/>
        <v>12750000</v>
      </c>
    </row>
    <row r="21" spans="1:8" ht="24.95" customHeight="1" x14ac:dyDescent="0.25">
      <c r="A21" s="9" t="s">
        <v>21</v>
      </c>
      <c r="B21" s="15" t="s">
        <v>84</v>
      </c>
      <c r="C21" s="24">
        <f>+TELEFONO!A34</f>
        <v>212195000</v>
      </c>
      <c r="D21" s="24">
        <v>0</v>
      </c>
      <c r="E21" s="24">
        <f t="shared" si="1"/>
        <v>42439000</v>
      </c>
      <c r="F21" s="24">
        <f t="shared" si="2"/>
        <v>169756000</v>
      </c>
      <c r="G21" s="24">
        <f t="shared" si="3"/>
        <v>53048750</v>
      </c>
      <c r="H21" s="24">
        <f t="shared" si="6"/>
        <v>159146250</v>
      </c>
    </row>
    <row r="22" spans="1:8" ht="24.95" customHeight="1" x14ac:dyDescent="0.25">
      <c r="A22" s="9" t="s">
        <v>26</v>
      </c>
      <c r="B22" s="15" t="s">
        <v>85</v>
      </c>
      <c r="C22" s="24" t="e">
        <f>+#REF!</f>
        <v>#REF!</v>
      </c>
      <c r="D22" s="24">
        <v>0</v>
      </c>
      <c r="E22" s="24" t="e">
        <f>+C22*20%</f>
        <v>#REF!</v>
      </c>
      <c r="F22" s="24" t="e">
        <f t="shared" si="2"/>
        <v>#REF!</v>
      </c>
      <c r="G22" s="24" t="e">
        <f t="shared" si="3"/>
        <v>#REF!</v>
      </c>
      <c r="H22" s="24" t="e">
        <f t="shared" si="6"/>
        <v>#REF!</v>
      </c>
    </row>
    <row r="23" spans="1:8" ht="24.95" customHeight="1" x14ac:dyDescent="0.25">
      <c r="A23" s="9" t="s">
        <v>128</v>
      </c>
      <c r="B23" s="15" t="s">
        <v>127</v>
      </c>
      <c r="C23" s="24">
        <f>+CAPACITACIÓN!A22</f>
        <v>354083000</v>
      </c>
      <c r="D23" s="24">
        <v>0</v>
      </c>
      <c r="E23" s="24">
        <f>+C23*20%</f>
        <v>70816600</v>
      </c>
      <c r="F23" s="24">
        <f t="shared" si="2"/>
        <v>283266400</v>
      </c>
      <c r="G23" s="24">
        <f>+C23*25%</f>
        <v>88520750</v>
      </c>
      <c r="H23" s="24">
        <f t="shared" si="6"/>
        <v>265562250</v>
      </c>
    </row>
    <row r="24" spans="1:8" ht="24.95" customHeight="1" x14ac:dyDescent="0.25">
      <c r="A24" s="9" t="s">
        <v>22</v>
      </c>
      <c r="B24" s="15" t="s">
        <v>86</v>
      </c>
      <c r="C24" s="24">
        <f>+BIENESTAR!A77</f>
        <v>652711000</v>
      </c>
      <c r="D24" s="24">
        <v>411570406</v>
      </c>
      <c r="E24" s="24">
        <f>+C24*20%</f>
        <v>130542200</v>
      </c>
      <c r="F24" s="24">
        <f t="shared" si="2"/>
        <v>522168800</v>
      </c>
      <c r="G24" s="24">
        <f>+C24*25%</f>
        <v>163177750</v>
      </c>
      <c r="H24" s="24">
        <f t="shared" si="6"/>
        <v>489533250</v>
      </c>
    </row>
    <row r="25" spans="1:8" ht="24.95" customHeight="1" x14ac:dyDescent="0.25">
      <c r="A25" s="9" t="s">
        <v>23</v>
      </c>
      <c r="B25" s="15" t="s">
        <v>87</v>
      </c>
      <c r="C25" s="24">
        <f>+PROMOCIÓN!A24</f>
        <v>200000000</v>
      </c>
      <c r="D25" s="24">
        <v>10638608</v>
      </c>
      <c r="E25" s="161">
        <f>+C25*20%</f>
        <v>40000000</v>
      </c>
      <c r="F25" s="24">
        <f t="shared" si="2"/>
        <v>160000000</v>
      </c>
      <c r="G25" s="24">
        <f>+C25*25%</f>
        <v>50000000</v>
      </c>
      <c r="H25" s="24">
        <f t="shared" si="6"/>
        <v>150000000</v>
      </c>
    </row>
    <row r="26" spans="1:8" ht="24.95" customHeight="1" x14ac:dyDescent="0.25">
      <c r="A26" s="9" t="s">
        <v>24</v>
      </c>
      <c r="B26" s="15" t="s">
        <v>88</v>
      </c>
      <c r="C26" s="24">
        <f>+'SALUD OCU.'!A29</f>
        <v>300000000</v>
      </c>
      <c r="D26" s="24">
        <v>142313909</v>
      </c>
      <c r="E26" s="24">
        <f>+C26*20%</f>
        <v>60000000</v>
      </c>
      <c r="F26" s="24">
        <f t="shared" si="2"/>
        <v>240000000</v>
      </c>
      <c r="G26" s="24">
        <f>+C26*25%</f>
        <v>75000000</v>
      </c>
      <c r="H26" s="24">
        <f t="shared" si="6"/>
        <v>225000000</v>
      </c>
    </row>
    <row r="27" spans="1:8" ht="24.95" customHeight="1" x14ac:dyDescent="0.25">
      <c r="A27" s="12" t="s">
        <v>138</v>
      </c>
      <c r="B27" s="13" t="s">
        <v>137</v>
      </c>
      <c r="C27" s="25">
        <f t="shared" ref="C27:H27" si="7">SUM(C28:C29)</f>
        <v>208120000</v>
      </c>
      <c r="D27" s="25">
        <f t="shared" si="7"/>
        <v>0</v>
      </c>
      <c r="E27" s="25">
        <f t="shared" si="7"/>
        <v>424000</v>
      </c>
      <c r="F27" s="25">
        <f t="shared" si="7"/>
        <v>207696000</v>
      </c>
      <c r="G27" s="25">
        <f t="shared" si="7"/>
        <v>530000</v>
      </c>
      <c r="H27" s="25">
        <f t="shared" si="7"/>
        <v>207590000</v>
      </c>
    </row>
    <row r="28" spans="1:8" ht="24.95" customHeight="1" x14ac:dyDescent="0.25">
      <c r="A28" s="9" t="s">
        <v>90</v>
      </c>
      <c r="B28" s="15" t="s">
        <v>91</v>
      </c>
      <c r="C28" s="24">
        <f>+SENTENCIAS!A23</f>
        <v>206000000</v>
      </c>
      <c r="D28" s="24">
        <v>0</v>
      </c>
      <c r="E28" s="24">
        <v>0</v>
      </c>
      <c r="F28" s="24">
        <f t="shared" si="2"/>
        <v>206000000</v>
      </c>
      <c r="G28" s="24">
        <v>0</v>
      </c>
      <c r="H28" s="24">
        <f>+C28-G28</f>
        <v>206000000</v>
      </c>
    </row>
    <row r="29" spans="1:8" ht="24.95" customHeight="1" x14ac:dyDescent="0.25">
      <c r="A29" s="9" t="s">
        <v>25</v>
      </c>
      <c r="B29" s="15" t="s">
        <v>89</v>
      </c>
      <c r="C29" s="24">
        <f>+'IMPUESTOS, TASAS'!A28</f>
        <v>2120000</v>
      </c>
      <c r="D29" s="24">
        <v>0</v>
      </c>
      <c r="E29" s="24">
        <f>+C29*20%</f>
        <v>424000</v>
      </c>
      <c r="F29" s="24">
        <f t="shared" si="2"/>
        <v>1696000</v>
      </c>
      <c r="G29" s="24">
        <f>+C29*25%</f>
        <v>530000</v>
      </c>
      <c r="H29" s="24">
        <f>+C29-G29</f>
        <v>1590000</v>
      </c>
    </row>
    <row r="30" spans="1:8" ht="24.95" customHeight="1" x14ac:dyDescent="0.25">
      <c r="A30" s="16" t="s">
        <v>119</v>
      </c>
      <c r="B30" s="17" t="s">
        <v>65</v>
      </c>
      <c r="C30" s="26" t="e">
        <f t="shared" ref="C30:H30" si="8">+C6+C11+C27</f>
        <v>#REF!</v>
      </c>
      <c r="D30" s="156">
        <f t="shared" si="8"/>
        <v>3020094383.4300003</v>
      </c>
      <c r="E30" s="26" t="e">
        <f t="shared" si="8"/>
        <v>#REF!</v>
      </c>
      <c r="F30" s="26" t="e">
        <f t="shared" si="8"/>
        <v>#REF!</v>
      </c>
      <c r="G30" s="156" t="e">
        <f t="shared" si="8"/>
        <v>#REF!</v>
      </c>
      <c r="H30" s="26" t="e">
        <f t="shared" si="8"/>
        <v>#REF!</v>
      </c>
    </row>
    <row r="31" spans="1:8" ht="24.95" customHeight="1" x14ac:dyDescent="0.25">
      <c r="A31" s="18" t="s">
        <v>120</v>
      </c>
      <c r="B31" s="19" t="s">
        <v>63</v>
      </c>
      <c r="C31" s="27">
        <f t="shared" ref="C31:H31" si="9">SUM(C32:C34)</f>
        <v>84803872000</v>
      </c>
      <c r="D31" s="27">
        <f t="shared" si="9"/>
        <v>71050067</v>
      </c>
      <c r="E31" s="27">
        <f t="shared" si="9"/>
        <v>3482153120</v>
      </c>
      <c r="F31" s="27">
        <f t="shared" si="9"/>
        <v>81321718880</v>
      </c>
      <c r="G31" s="27">
        <f t="shared" si="9"/>
        <v>3510277570</v>
      </c>
      <c r="H31" s="27">
        <f t="shared" si="9"/>
        <v>81293594430</v>
      </c>
    </row>
    <row r="32" spans="1:8" ht="24.95" customHeight="1" x14ac:dyDescent="0.25">
      <c r="A32" s="18" t="s">
        <v>121</v>
      </c>
      <c r="B32" s="10" t="s">
        <v>145</v>
      </c>
      <c r="C32" s="28">
        <f>+NOMINA!A38</f>
        <v>62534631000</v>
      </c>
      <c r="D32" s="28">
        <v>0</v>
      </c>
      <c r="E32" s="28">
        <f>+C32*4%</f>
        <v>2501385240</v>
      </c>
      <c r="F32" s="28">
        <f t="shared" si="2"/>
        <v>60033245760</v>
      </c>
      <c r="G32" s="28">
        <f>+C32*4%</f>
        <v>2501385240</v>
      </c>
      <c r="H32" s="28">
        <f>+C32-G32</f>
        <v>60033245760</v>
      </c>
    </row>
    <row r="33" spans="1:8" ht="24.95" customHeight="1" x14ac:dyDescent="0.25">
      <c r="A33" s="18" t="s">
        <v>123</v>
      </c>
      <c r="B33" s="10" t="s">
        <v>94</v>
      </c>
      <c r="C33" s="28">
        <f>+HONORARIOS!A32</f>
        <v>562489000</v>
      </c>
      <c r="D33" s="28">
        <v>30786667</v>
      </c>
      <c r="E33" s="28">
        <f>+C33*20%</f>
        <v>112497800</v>
      </c>
      <c r="F33" s="28">
        <f t="shared" si="2"/>
        <v>449991200</v>
      </c>
      <c r="G33" s="28">
        <f>+C33*25%</f>
        <v>140622250</v>
      </c>
      <c r="H33" s="28">
        <f>+C33-G33</f>
        <v>421866750</v>
      </c>
    </row>
    <row r="34" spans="1:8" ht="24.95" customHeight="1" x14ac:dyDescent="0.25">
      <c r="A34" s="18" t="s">
        <v>122</v>
      </c>
      <c r="B34" s="10" t="s">
        <v>146</v>
      </c>
      <c r="C34" s="28">
        <f>+APORTES!A54</f>
        <v>21706752000</v>
      </c>
      <c r="D34" s="28">
        <v>40263400</v>
      </c>
      <c r="E34" s="28">
        <f>+C34*4%</f>
        <v>868270080</v>
      </c>
      <c r="F34" s="28">
        <f t="shared" si="2"/>
        <v>20838481920</v>
      </c>
      <c r="G34" s="28">
        <f>+C34*4%</f>
        <v>868270080</v>
      </c>
      <c r="H34" s="28">
        <f>+C34-G34</f>
        <v>20838481920</v>
      </c>
    </row>
    <row r="35" spans="1:8" ht="24.95" customHeight="1" x14ac:dyDescent="0.25">
      <c r="A35" s="20" t="s">
        <v>124</v>
      </c>
      <c r="B35" s="21" t="s">
        <v>66</v>
      </c>
      <c r="C35" s="29" t="e">
        <f t="shared" ref="C35:H35" si="10">+C30+C31</f>
        <v>#REF!</v>
      </c>
      <c r="D35" s="159">
        <f t="shared" si="10"/>
        <v>3091144450.4300003</v>
      </c>
      <c r="E35" s="29" t="e">
        <f t="shared" si="10"/>
        <v>#REF!</v>
      </c>
      <c r="F35" s="29" t="e">
        <f t="shared" si="10"/>
        <v>#REF!</v>
      </c>
      <c r="G35" s="159" t="e">
        <f t="shared" si="10"/>
        <v>#REF!</v>
      </c>
      <c r="H35" s="29" t="e">
        <f t="shared" si="10"/>
        <v>#REF!</v>
      </c>
    </row>
    <row r="36" spans="1:8" x14ac:dyDescent="0.25">
      <c r="B36" s="2" t="s">
        <v>147</v>
      </c>
      <c r="H36" s="144"/>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workbookViewId="0">
      <selection activeCell="J16" sqref="J16:J18"/>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103</v>
      </c>
      <c r="B3" s="278" t="s">
        <v>72</v>
      </c>
      <c r="C3" s="275"/>
      <c r="D3" s="275"/>
      <c r="E3" s="276"/>
      <c r="F3" s="276"/>
      <c r="G3" s="276"/>
      <c r="H3" s="276"/>
      <c r="I3" s="276"/>
      <c r="J3" s="277"/>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342</v>
      </c>
      <c r="F8" s="32"/>
      <c r="G8" s="46"/>
      <c r="H8" s="47"/>
      <c r="I8" s="312">
        <v>1800000</v>
      </c>
      <c r="J8" s="39"/>
      <c r="K8" s="44"/>
    </row>
    <row r="9" spans="1:11" ht="12.75" customHeight="1" x14ac:dyDescent="0.25">
      <c r="A9" s="130"/>
      <c r="B9" s="39"/>
      <c r="C9" s="44"/>
      <c r="D9" s="45"/>
      <c r="E9" s="39"/>
      <c r="F9" s="32"/>
      <c r="G9" s="46"/>
      <c r="H9" s="47"/>
      <c r="I9" s="312"/>
      <c r="J9" s="39"/>
      <c r="K9" s="44"/>
    </row>
    <row r="10" spans="1:11" ht="12.75" customHeight="1" x14ac:dyDescent="0.25">
      <c r="A10" s="43"/>
      <c r="B10" s="48"/>
      <c r="C10" s="49"/>
      <c r="D10" s="39"/>
      <c r="E10" s="39"/>
      <c r="F10" s="32"/>
      <c r="G10" s="46"/>
      <c r="H10" s="47"/>
      <c r="I10" s="68"/>
      <c r="J10" s="39"/>
      <c r="K10" s="44"/>
    </row>
    <row r="11" spans="1:11" x14ac:dyDescent="0.25">
      <c r="A11" s="50"/>
      <c r="B11" s="51"/>
      <c r="C11" s="51"/>
      <c r="D11" s="51"/>
      <c r="E11" s="51"/>
      <c r="F11" s="51"/>
      <c r="G11" s="344" t="s">
        <v>131</v>
      </c>
      <c r="H11" s="345"/>
      <c r="I11" s="69">
        <f>SUM(I8:I10)</f>
        <v>1800000</v>
      </c>
      <c r="J11" s="52"/>
      <c r="K11" s="53"/>
    </row>
    <row r="12" spans="1:11" ht="12.75" customHeight="1" x14ac:dyDescent="0.25">
      <c r="A12" s="3"/>
      <c r="B12" s="3"/>
      <c r="C12" s="3"/>
      <c r="D12" s="3"/>
      <c r="E12" s="3"/>
      <c r="F12" s="3"/>
      <c r="G12" s="3"/>
      <c r="H12" s="3"/>
      <c r="I12" s="86"/>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ht="12.75" customHeight="1" x14ac:dyDescent="0.25">
      <c r="A15" s="36"/>
      <c r="B15" s="36"/>
      <c r="C15" s="36"/>
      <c r="D15" s="36"/>
      <c r="E15" s="39"/>
      <c r="F15" s="44"/>
      <c r="G15" s="39"/>
      <c r="H15" s="44"/>
      <c r="I15" s="57"/>
      <c r="J15" s="57"/>
      <c r="K15" s="57"/>
    </row>
    <row r="16" spans="1:11" x14ac:dyDescent="0.25">
      <c r="A16" s="78">
        <v>43186</v>
      </c>
      <c r="B16" s="79" t="s">
        <v>375</v>
      </c>
      <c r="C16" s="80">
        <v>750</v>
      </c>
      <c r="D16" s="80">
        <v>672</v>
      </c>
      <c r="E16" s="81" t="s">
        <v>361</v>
      </c>
      <c r="F16" s="76"/>
      <c r="G16" s="77" t="s">
        <v>376</v>
      </c>
      <c r="H16" s="76"/>
      <c r="I16" s="88">
        <v>60000000</v>
      </c>
      <c r="J16" s="88">
        <v>53769213</v>
      </c>
      <c r="K16" s="70">
        <f>+I16-J16</f>
        <v>6230787</v>
      </c>
    </row>
    <row r="17" spans="1:11" x14ac:dyDescent="0.25">
      <c r="A17" s="78">
        <v>43217</v>
      </c>
      <c r="B17" s="79" t="s">
        <v>438</v>
      </c>
      <c r="C17" s="80">
        <v>731</v>
      </c>
      <c r="D17" s="80">
        <v>809</v>
      </c>
      <c r="E17" s="87" t="s">
        <v>322</v>
      </c>
      <c r="F17" s="76"/>
      <c r="G17" s="77" t="s">
        <v>439</v>
      </c>
      <c r="H17" s="76"/>
      <c r="I17" s="88">
        <v>20000000</v>
      </c>
      <c r="J17" s="70">
        <v>0</v>
      </c>
      <c r="K17" s="70">
        <f>+I17-J17</f>
        <v>20000000</v>
      </c>
    </row>
    <row r="18" spans="1:11" x14ac:dyDescent="0.25">
      <c r="A18" s="78">
        <v>43378</v>
      </c>
      <c r="B18" s="79" t="s">
        <v>755</v>
      </c>
      <c r="C18" s="80">
        <v>1412</v>
      </c>
      <c r="D18" s="80">
        <v>1544</v>
      </c>
      <c r="E18" t="s">
        <v>756</v>
      </c>
      <c r="F18" s="76"/>
      <c r="G18" t="s">
        <v>757</v>
      </c>
      <c r="H18" s="76"/>
      <c r="I18" s="71">
        <v>40000000</v>
      </c>
      <c r="J18" s="67">
        <v>6629486</v>
      </c>
      <c r="K18" s="70">
        <f>+I18-J18</f>
        <v>33370514</v>
      </c>
    </row>
    <row r="19" spans="1:11" x14ac:dyDescent="0.25">
      <c r="A19" s="78"/>
      <c r="B19" s="79"/>
      <c r="C19" s="80"/>
      <c r="D19" s="80"/>
      <c r="E19" s="39"/>
      <c r="F19" s="76"/>
      <c r="G19" s="77"/>
      <c r="H19" s="76"/>
      <c r="I19" s="71"/>
      <c r="J19" s="67"/>
      <c r="K19" s="70"/>
    </row>
    <row r="20" spans="1:11" ht="12.75" customHeight="1" x14ac:dyDescent="0.25">
      <c r="A20" s="43"/>
      <c r="B20" s="58"/>
      <c r="C20" s="36"/>
      <c r="D20" s="36"/>
      <c r="E20" s="39"/>
      <c r="F20" s="44"/>
      <c r="G20" s="39"/>
      <c r="H20" s="44"/>
      <c r="I20" s="83"/>
      <c r="J20" s="83"/>
      <c r="K20" s="83"/>
    </row>
    <row r="21" spans="1:11" x14ac:dyDescent="0.25">
      <c r="A21" s="50"/>
      <c r="B21" s="51"/>
      <c r="C21" s="51"/>
      <c r="D21" s="51"/>
      <c r="E21" s="51"/>
      <c r="F21" s="51"/>
      <c r="G21" s="344" t="s">
        <v>131</v>
      </c>
      <c r="H21" s="345"/>
      <c r="I21" s="73">
        <f>SUM(I16:I20)</f>
        <v>120000000</v>
      </c>
      <c r="J21" s="73">
        <f>SUM(J16:J20)</f>
        <v>60398699</v>
      </c>
      <c r="K21" s="73">
        <f>SUM(K16:K20)</f>
        <v>59601301</v>
      </c>
    </row>
    <row r="22" spans="1:11" ht="12.75" customHeight="1" x14ac:dyDescent="0.25">
      <c r="A22" s="3"/>
      <c r="B22" s="3"/>
      <c r="C22" s="3"/>
      <c r="D22" s="3"/>
      <c r="E22" s="3"/>
      <c r="F22" s="3"/>
      <c r="G22" s="3"/>
      <c r="H22" s="3"/>
      <c r="I22" s="22"/>
      <c r="J22" s="82"/>
      <c r="K22" s="51"/>
    </row>
    <row r="23" spans="1:11" ht="24.95" customHeight="1" x14ac:dyDescent="0.25">
      <c r="A23" s="284" t="s">
        <v>58</v>
      </c>
      <c r="B23" s="284" t="s">
        <v>132</v>
      </c>
      <c r="C23" s="284" t="s">
        <v>30</v>
      </c>
      <c r="D23" s="285" t="s">
        <v>59</v>
      </c>
      <c r="E23" s="284" t="s">
        <v>40</v>
      </c>
      <c r="F23" s="284" t="s">
        <v>62</v>
      </c>
      <c r="G23" s="284" t="s">
        <v>37</v>
      </c>
      <c r="H23" s="284" t="s">
        <v>60</v>
      </c>
      <c r="I23" s="284" t="s">
        <v>61</v>
      </c>
      <c r="J23" s="284" t="s">
        <v>98</v>
      </c>
      <c r="K23" s="284" t="s">
        <v>68</v>
      </c>
    </row>
    <row r="24" spans="1:11" ht="24.95" customHeight="1" x14ac:dyDescent="0.25">
      <c r="A24" s="291">
        <v>84996000</v>
      </c>
      <c r="B24" s="291">
        <v>40000000</v>
      </c>
      <c r="C24" s="291">
        <v>0</v>
      </c>
      <c r="D24" s="287">
        <f>+A24+B24-C24</f>
        <v>124996000</v>
      </c>
      <c r="E24" s="287">
        <f>+I21</f>
        <v>120000000</v>
      </c>
      <c r="F24" s="288">
        <f>+E24/D24</f>
        <v>0.96003072098307141</v>
      </c>
      <c r="G24" s="287">
        <f>+I11</f>
        <v>1800000</v>
      </c>
      <c r="H24" s="287">
        <f>+D24-E24-G24</f>
        <v>3196000</v>
      </c>
      <c r="I24" s="287">
        <f>+J21</f>
        <v>60398699</v>
      </c>
      <c r="J24" s="293">
        <f>+I24/D24</f>
        <v>0.48320505456174595</v>
      </c>
      <c r="K24" s="287">
        <f>+K21</f>
        <v>59601301</v>
      </c>
    </row>
    <row r="25" spans="1:11" x14ac:dyDescent="0.25">
      <c r="A25" s="290">
        <v>1</v>
      </c>
      <c r="B25" s="290">
        <v>2</v>
      </c>
      <c r="C25" s="290">
        <v>3</v>
      </c>
      <c r="D25" s="290" t="s">
        <v>42</v>
      </c>
      <c r="E25" s="290">
        <v>5</v>
      </c>
      <c r="F25" s="290" t="s">
        <v>69</v>
      </c>
      <c r="G25" s="290">
        <v>7</v>
      </c>
      <c r="H25" s="290" t="s">
        <v>70</v>
      </c>
      <c r="I25" s="290">
        <v>9</v>
      </c>
      <c r="J25" s="290" t="s">
        <v>99</v>
      </c>
      <c r="K25" s="290" t="s">
        <v>100</v>
      </c>
    </row>
  </sheetData>
  <mergeCells count="15">
    <mergeCell ref="G21:H21"/>
    <mergeCell ref="E13:H13"/>
    <mergeCell ref="E14:F14"/>
    <mergeCell ref="G14:H14"/>
    <mergeCell ref="E5:H5"/>
    <mergeCell ref="E6:H6"/>
    <mergeCell ref="G11:H11"/>
    <mergeCell ref="J13:J14"/>
    <mergeCell ref="I13:I14"/>
    <mergeCell ref="A13:A14"/>
    <mergeCell ref="B5:B6"/>
    <mergeCell ref="D5:D6"/>
    <mergeCell ref="I5:I6"/>
    <mergeCell ref="J5:K6"/>
    <mergeCell ref="A5:A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M13" sqref="M1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105</v>
      </c>
      <c r="B3" s="278" t="s">
        <v>125</v>
      </c>
      <c r="C3" s="275"/>
      <c r="D3" s="275"/>
      <c r="E3" s="276"/>
      <c r="F3" s="276"/>
      <c r="G3" s="276"/>
      <c r="H3" s="276"/>
      <c r="I3" s="276"/>
      <c r="J3" s="277"/>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ht="12.75" customHeight="1" x14ac:dyDescent="0.25">
      <c r="A7" s="36"/>
      <c r="B7" s="37"/>
      <c r="C7" s="38"/>
      <c r="D7" s="39"/>
      <c r="E7" s="37"/>
      <c r="F7" s="40"/>
      <c r="G7" s="41"/>
      <c r="H7" s="42"/>
      <c r="I7" s="38"/>
      <c r="J7" s="37"/>
      <c r="K7" s="38"/>
    </row>
    <row r="8" spans="1:11" ht="12.75" customHeight="1" x14ac:dyDescent="0.25">
      <c r="A8" s="130">
        <v>43172</v>
      </c>
      <c r="B8" s="39" t="s">
        <v>172</v>
      </c>
      <c r="C8" s="44"/>
      <c r="D8" s="45">
        <v>741</v>
      </c>
      <c r="E8" s="39" t="s">
        <v>342</v>
      </c>
      <c r="F8" s="32"/>
      <c r="G8" s="46"/>
      <c r="H8" s="47"/>
      <c r="I8" s="312">
        <f>4062500-536500</f>
        <v>3526000</v>
      </c>
      <c r="J8" s="39" t="s">
        <v>178</v>
      </c>
      <c r="K8" s="44"/>
    </row>
    <row r="9" spans="1:11" ht="12.75" customHeight="1" x14ac:dyDescent="0.25">
      <c r="A9" s="130">
        <v>43374</v>
      </c>
      <c r="B9" s="39" t="s">
        <v>758</v>
      </c>
      <c r="C9" s="44"/>
      <c r="D9" s="45">
        <v>1385</v>
      </c>
      <c r="E9" s="39" t="s">
        <v>759</v>
      </c>
      <c r="F9" s="32"/>
      <c r="G9" s="46"/>
      <c r="H9" s="47"/>
      <c r="I9" s="312">
        <v>2234908</v>
      </c>
      <c r="J9" s="39" t="s">
        <v>178</v>
      </c>
      <c r="K9" s="44"/>
    </row>
    <row r="10" spans="1:11" ht="12.75" customHeight="1" x14ac:dyDescent="0.25">
      <c r="A10" s="43"/>
      <c r="B10" s="39"/>
      <c r="C10" s="44"/>
      <c r="D10" s="45"/>
      <c r="E10" s="39"/>
      <c r="F10" s="32"/>
      <c r="G10" s="46"/>
      <c r="H10" s="47"/>
      <c r="I10" s="67"/>
      <c r="J10" s="39"/>
      <c r="K10" s="44"/>
    </row>
    <row r="11" spans="1:11" x14ac:dyDescent="0.25">
      <c r="A11" s="50"/>
      <c r="B11" s="51"/>
      <c r="C11" s="51"/>
      <c r="D11" s="51"/>
      <c r="E11" s="51"/>
      <c r="F11" s="51"/>
      <c r="G11" s="344" t="s">
        <v>131</v>
      </c>
      <c r="H11" s="345"/>
      <c r="I11" s="69">
        <f>SUM(I8:I10)</f>
        <v>5760908</v>
      </c>
      <c r="J11" s="52"/>
      <c r="K11" s="53"/>
    </row>
    <row r="12" spans="1:11" ht="12.75" customHeight="1" x14ac:dyDescent="0.25">
      <c r="A12" s="3"/>
      <c r="B12" s="3"/>
      <c r="C12" s="3"/>
      <c r="D12" s="3"/>
      <c r="E12" s="3"/>
      <c r="F12" s="3"/>
      <c r="G12" s="3"/>
      <c r="H12" s="3"/>
      <c r="I12" s="22"/>
      <c r="J12" s="32"/>
      <c r="K12" s="44"/>
    </row>
    <row r="13" spans="1:11" x14ac:dyDescent="0.25">
      <c r="A13" s="346" t="s">
        <v>28</v>
      </c>
      <c r="B13" s="30" t="s">
        <v>38</v>
      </c>
      <c r="C13" s="55" t="s">
        <v>34</v>
      </c>
      <c r="D13" s="54" t="s">
        <v>34</v>
      </c>
      <c r="E13" s="350" t="s">
        <v>40</v>
      </c>
      <c r="F13" s="351"/>
      <c r="G13" s="351"/>
      <c r="H13" s="352"/>
      <c r="I13" s="346" t="s">
        <v>31</v>
      </c>
      <c r="J13" s="346" t="s">
        <v>29</v>
      </c>
      <c r="K13" s="55" t="s">
        <v>56</v>
      </c>
    </row>
    <row r="14" spans="1:11" x14ac:dyDescent="0.25">
      <c r="A14" s="347"/>
      <c r="B14" s="56" t="s">
        <v>39</v>
      </c>
      <c r="C14" s="56" t="s">
        <v>36</v>
      </c>
      <c r="D14" s="56" t="s">
        <v>35</v>
      </c>
      <c r="E14" s="350" t="s">
        <v>33</v>
      </c>
      <c r="F14" s="352"/>
      <c r="G14" s="350" t="s">
        <v>32</v>
      </c>
      <c r="H14" s="352"/>
      <c r="I14" s="347"/>
      <c r="J14" s="347"/>
      <c r="K14" s="56" t="s">
        <v>57</v>
      </c>
    </row>
    <row r="15" spans="1:11" ht="12.75" customHeight="1" x14ac:dyDescent="0.25">
      <c r="A15" s="36"/>
      <c r="B15" s="36"/>
      <c r="C15" s="36"/>
      <c r="D15" s="36"/>
      <c r="E15" s="39"/>
      <c r="F15" s="85"/>
      <c r="G15" s="39"/>
      <c r="H15" s="44"/>
      <c r="I15" s="57"/>
      <c r="J15" s="57"/>
      <c r="K15" s="57"/>
    </row>
    <row r="16" spans="1:11" x14ac:dyDescent="0.25">
      <c r="A16" s="78">
        <v>43186</v>
      </c>
      <c r="B16" s="236" t="s">
        <v>372</v>
      </c>
      <c r="C16" s="237">
        <v>740</v>
      </c>
      <c r="D16" s="238">
        <v>771</v>
      </c>
      <c r="E16" s="39" t="s">
        <v>373</v>
      </c>
      <c r="F16" s="76"/>
      <c r="G16" s="77" t="s">
        <v>374</v>
      </c>
      <c r="H16" s="76"/>
      <c r="I16" s="67">
        <v>188269467</v>
      </c>
      <c r="J16" s="71">
        <v>130520402</v>
      </c>
      <c r="K16" s="70">
        <f t="shared" ref="K16:K24" si="0">+I16-J16</f>
        <v>57749065</v>
      </c>
    </row>
    <row r="17" spans="1:11" hidden="1" x14ac:dyDescent="0.25">
      <c r="A17" s="78">
        <v>43241</v>
      </c>
      <c r="B17" s="236" t="s">
        <v>459</v>
      </c>
      <c r="C17" s="80">
        <v>764</v>
      </c>
      <c r="D17" s="80">
        <v>834</v>
      </c>
      <c r="E17" s="77" t="s">
        <v>380</v>
      </c>
      <c r="F17" s="76"/>
      <c r="G17" s="77" t="s">
        <v>460</v>
      </c>
      <c r="H17" s="76"/>
      <c r="I17" s="71">
        <v>2898387</v>
      </c>
      <c r="J17" s="71">
        <v>2898387</v>
      </c>
      <c r="K17" s="70">
        <f t="shared" si="0"/>
        <v>0</v>
      </c>
    </row>
    <row r="18" spans="1:11" hidden="1" x14ac:dyDescent="0.25">
      <c r="A18" s="78">
        <v>43241</v>
      </c>
      <c r="B18" s="236" t="s">
        <v>466</v>
      </c>
      <c r="C18" s="80">
        <v>741</v>
      </c>
      <c r="D18" s="80">
        <v>836</v>
      </c>
      <c r="E18" s="77" t="s">
        <v>467</v>
      </c>
      <c r="F18" s="76"/>
      <c r="G18" s="77" t="s">
        <v>468</v>
      </c>
      <c r="H18" s="76"/>
      <c r="I18" s="71">
        <v>320000</v>
      </c>
      <c r="J18" s="71">
        <v>320000</v>
      </c>
      <c r="K18" s="70">
        <f t="shared" si="0"/>
        <v>0</v>
      </c>
    </row>
    <row r="19" spans="1:11" hidden="1" x14ac:dyDescent="0.25">
      <c r="A19" s="78">
        <v>43265</v>
      </c>
      <c r="B19" s="236" t="s">
        <v>459</v>
      </c>
      <c r="C19" s="80">
        <v>815</v>
      </c>
      <c r="D19" s="80">
        <v>889</v>
      </c>
      <c r="E19" s="77" t="s">
        <v>504</v>
      </c>
      <c r="F19" s="76"/>
      <c r="G19" s="77" t="s">
        <v>460</v>
      </c>
      <c r="H19" s="76"/>
      <c r="I19" s="71">
        <v>1318638</v>
      </c>
      <c r="J19" s="71">
        <v>1318638</v>
      </c>
      <c r="K19" s="70">
        <f t="shared" si="0"/>
        <v>0</v>
      </c>
    </row>
    <row r="20" spans="1:11" x14ac:dyDescent="0.25">
      <c r="A20" s="78">
        <v>43326</v>
      </c>
      <c r="B20" s="236" t="s">
        <v>626</v>
      </c>
      <c r="C20" s="80">
        <v>838</v>
      </c>
      <c r="D20" s="80">
        <v>993</v>
      </c>
      <c r="E20" s="77" t="s">
        <v>535</v>
      </c>
      <c r="F20" s="76"/>
      <c r="G20" s="77" t="s">
        <v>627</v>
      </c>
      <c r="H20" s="76"/>
      <c r="I20" s="71">
        <v>100333000</v>
      </c>
      <c r="J20" s="71">
        <v>15092366</v>
      </c>
      <c r="K20" s="70">
        <f t="shared" si="0"/>
        <v>85240634</v>
      </c>
    </row>
    <row r="21" spans="1:11" hidden="1" x14ac:dyDescent="0.25">
      <c r="A21" s="78">
        <v>43361</v>
      </c>
      <c r="B21" s="236" t="s">
        <v>466</v>
      </c>
      <c r="C21" s="80">
        <v>741</v>
      </c>
      <c r="D21" s="80">
        <v>1386</v>
      </c>
      <c r="E21" s="77" t="s">
        <v>718</v>
      </c>
      <c r="F21" s="76"/>
      <c r="G21" s="77" t="s">
        <v>468</v>
      </c>
      <c r="H21" s="76"/>
      <c r="I21" s="71">
        <v>320000</v>
      </c>
      <c r="J21" s="71">
        <v>320000</v>
      </c>
      <c r="K21" s="70">
        <f t="shared" si="0"/>
        <v>0</v>
      </c>
    </row>
    <row r="22" spans="1:11" x14ac:dyDescent="0.25">
      <c r="A22" s="78">
        <v>43392</v>
      </c>
      <c r="B22" s="236" t="s">
        <v>784</v>
      </c>
      <c r="C22" s="80">
        <v>1385</v>
      </c>
      <c r="D22" s="80">
        <v>1620</v>
      </c>
      <c r="E22" s="77" t="s">
        <v>759</v>
      </c>
      <c r="F22" s="76"/>
      <c r="G22" s="77" t="s">
        <v>786</v>
      </c>
      <c r="H22" s="76"/>
      <c r="I22" s="71">
        <v>8157442</v>
      </c>
      <c r="J22" s="71">
        <v>0</v>
      </c>
      <c r="K22" s="70">
        <f t="shared" si="0"/>
        <v>8157442</v>
      </c>
    </row>
    <row r="23" spans="1:11" hidden="1" x14ac:dyDescent="0.25">
      <c r="A23" s="78">
        <v>43395</v>
      </c>
      <c r="B23" s="236" t="s">
        <v>466</v>
      </c>
      <c r="C23" s="80">
        <v>741</v>
      </c>
      <c r="D23" s="80">
        <v>1626</v>
      </c>
      <c r="E23" s="77" t="s">
        <v>785</v>
      </c>
      <c r="F23" s="76"/>
      <c r="G23" s="77" t="s">
        <v>468</v>
      </c>
      <c r="H23" s="76"/>
      <c r="I23" s="71">
        <v>297500</v>
      </c>
      <c r="J23" s="71">
        <v>297500</v>
      </c>
      <c r="K23" s="70">
        <f t="shared" si="0"/>
        <v>0</v>
      </c>
    </row>
    <row r="24" spans="1:11" hidden="1" x14ac:dyDescent="0.25">
      <c r="A24" s="78">
        <v>43418</v>
      </c>
      <c r="B24" s="236" t="s">
        <v>466</v>
      </c>
      <c r="C24" s="80">
        <v>741</v>
      </c>
      <c r="D24" s="80">
        <v>1662</v>
      </c>
      <c r="E24" s="77" t="s">
        <v>827</v>
      </c>
      <c r="F24" s="76"/>
      <c r="G24" s="77" t="s">
        <v>468</v>
      </c>
      <c r="H24" s="76"/>
      <c r="I24" s="71">
        <v>536500</v>
      </c>
      <c r="J24" s="71">
        <v>536500</v>
      </c>
      <c r="K24" s="70">
        <f t="shared" si="0"/>
        <v>0</v>
      </c>
    </row>
    <row r="25" spans="1:11" x14ac:dyDescent="0.25">
      <c r="A25" s="78"/>
      <c r="B25" s="236"/>
      <c r="E25" s="77"/>
      <c r="F25" s="76"/>
      <c r="G25" s="77"/>
      <c r="H25" s="76"/>
      <c r="I25" s="71"/>
      <c r="J25" s="71"/>
      <c r="K25" s="70"/>
    </row>
    <row r="26" spans="1:11" x14ac:dyDescent="0.25">
      <c r="A26" s="78"/>
      <c r="B26" s="236"/>
      <c r="C26" s="80"/>
      <c r="D26" s="80"/>
      <c r="E26" s="77"/>
      <c r="F26" s="76"/>
      <c r="G26" s="77"/>
      <c r="H26" s="76"/>
      <c r="I26" s="71"/>
      <c r="J26" s="71"/>
      <c r="K26" s="70"/>
    </row>
    <row r="27" spans="1:11" x14ac:dyDescent="0.25">
      <c r="A27" s="50"/>
      <c r="B27" s="51"/>
      <c r="C27" s="51"/>
      <c r="D27" s="51"/>
      <c r="E27" s="51"/>
      <c r="F27" s="51"/>
      <c r="G27" s="344" t="s">
        <v>131</v>
      </c>
      <c r="H27" s="345"/>
      <c r="I27" s="73">
        <f>SUM(I16:I26)</f>
        <v>302450934</v>
      </c>
      <c r="J27" s="65">
        <f>SUM(J16:J26)</f>
        <v>151303793</v>
      </c>
      <c r="K27" s="65">
        <f>SUM(K16:K26)</f>
        <v>151147141</v>
      </c>
    </row>
    <row r="28" spans="1:11" ht="12.75" customHeight="1" x14ac:dyDescent="0.25">
      <c r="A28" s="3"/>
      <c r="B28" s="3"/>
      <c r="C28" s="3"/>
      <c r="D28" s="3"/>
      <c r="E28" s="3"/>
      <c r="F28" s="3"/>
      <c r="G28" s="3"/>
      <c r="H28" s="3"/>
      <c r="I28" s="22"/>
      <c r="J28" s="82"/>
      <c r="K28" s="152"/>
    </row>
    <row r="29" spans="1:11" ht="24.95" customHeight="1" x14ac:dyDescent="0.25">
      <c r="A29" s="284" t="s">
        <v>58</v>
      </c>
      <c r="B29" s="284" t="s">
        <v>132</v>
      </c>
      <c r="C29" s="284" t="s">
        <v>30</v>
      </c>
      <c r="D29" s="285" t="s">
        <v>59</v>
      </c>
      <c r="E29" s="284" t="s">
        <v>40</v>
      </c>
      <c r="F29" s="284" t="s">
        <v>62</v>
      </c>
      <c r="G29" s="284" t="s">
        <v>37</v>
      </c>
      <c r="H29" s="284" t="s">
        <v>60</v>
      </c>
      <c r="I29" s="284" t="s">
        <v>61</v>
      </c>
      <c r="J29" s="284" t="s">
        <v>98</v>
      </c>
      <c r="K29" s="284" t="s">
        <v>68</v>
      </c>
    </row>
    <row r="30" spans="1:11" ht="24.95" customHeight="1" x14ac:dyDescent="0.25">
      <c r="A30" s="286">
        <v>456000000</v>
      </c>
      <c r="B30" s="286">
        <f>-8826178-134750000</f>
        <v>-143576178</v>
      </c>
      <c r="C30" s="286">
        <v>0</v>
      </c>
      <c r="D30" s="287">
        <f>+A30+B30-C30</f>
        <v>312423822</v>
      </c>
      <c r="E30" s="287">
        <f>+I27</f>
        <v>302450934</v>
      </c>
      <c r="F30" s="288">
        <f>+E30/D30</f>
        <v>0.96807897702499779</v>
      </c>
      <c r="G30" s="287">
        <f>+I11</f>
        <v>5760908</v>
      </c>
      <c r="H30" s="287">
        <f>+D30-E30-G30</f>
        <v>4211980</v>
      </c>
      <c r="I30" s="292">
        <f>+J27</f>
        <v>151303793</v>
      </c>
      <c r="J30" s="293">
        <f>+I30/D30</f>
        <v>0.48429019282658925</v>
      </c>
      <c r="K30" s="292">
        <f>+K27</f>
        <v>151147141</v>
      </c>
    </row>
    <row r="31" spans="1:11" x14ac:dyDescent="0.25">
      <c r="A31" s="290">
        <v>1</v>
      </c>
      <c r="B31" s="290">
        <v>2</v>
      </c>
      <c r="C31" s="290">
        <v>3</v>
      </c>
      <c r="D31" s="290" t="s">
        <v>42</v>
      </c>
      <c r="E31" s="290">
        <v>5</v>
      </c>
      <c r="F31" s="290" t="s">
        <v>69</v>
      </c>
      <c r="G31" s="290">
        <v>7</v>
      </c>
      <c r="H31" s="290" t="s">
        <v>70</v>
      </c>
      <c r="I31" s="290">
        <v>9</v>
      </c>
      <c r="J31" s="290" t="s">
        <v>99</v>
      </c>
      <c r="K31" s="290" t="s">
        <v>100</v>
      </c>
    </row>
  </sheetData>
  <autoFilter ref="A13:K14" xr:uid="{481F486E-F07D-485E-B24E-310E8E9CDABF}">
    <filterColumn colId="4" showButton="0"/>
    <filterColumn colId="5" showButton="0"/>
    <filterColumn colId="6" showButton="0"/>
  </autoFilter>
  <mergeCells count="15">
    <mergeCell ref="J13:J14"/>
    <mergeCell ref="I13:I14"/>
    <mergeCell ref="A13:A14"/>
    <mergeCell ref="B5:B6"/>
    <mergeCell ref="D5:D6"/>
    <mergeCell ref="I5:I6"/>
    <mergeCell ref="J5:K6"/>
    <mergeCell ref="A5:A6"/>
    <mergeCell ref="G27:H27"/>
    <mergeCell ref="E13:H13"/>
    <mergeCell ref="E14:F14"/>
    <mergeCell ref="G14:H14"/>
    <mergeCell ref="E5:H5"/>
    <mergeCell ref="E6:H6"/>
    <mergeCell ref="G11:H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activeCell="M11" sqref="M11"/>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133</v>
      </c>
      <c r="B3" s="278" t="s">
        <v>134</v>
      </c>
      <c r="C3" s="275"/>
      <c r="D3" s="275"/>
      <c r="E3" s="276"/>
      <c r="F3" s="276"/>
      <c r="G3" s="276"/>
      <c r="H3" s="276"/>
      <c r="I3" s="276"/>
      <c r="J3" s="277"/>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ht="15.75" customHeight="1" x14ac:dyDescent="0.25">
      <c r="A6" s="347"/>
      <c r="B6" s="357"/>
      <c r="C6" s="35"/>
      <c r="D6" s="347"/>
      <c r="E6" s="350" t="s">
        <v>33</v>
      </c>
      <c r="F6" s="351"/>
      <c r="G6" s="351"/>
      <c r="H6" s="352"/>
      <c r="I6" s="347"/>
      <c r="J6" s="355"/>
      <c r="K6" s="356"/>
    </row>
    <row r="7" spans="1:11" x14ac:dyDescent="0.25">
      <c r="A7" s="43"/>
      <c r="B7" s="89"/>
      <c r="C7" s="90"/>
      <c r="D7" s="45"/>
      <c r="E7" s="91"/>
      <c r="F7" s="92"/>
      <c r="G7" s="92"/>
      <c r="H7" s="93"/>
      <c r="I7" s="67"/>
      <c r="J7" s="94"/>
      <c r="K7" s="44"/>
    </row>
    <row r="8" spans="1:11" x14ac:dyDescent="0.25">
      <c r="A8" s="43">
        <v>43159</v>
      </c>
      <c r="B8" s="89" t="s">
        <v>172</v>
      </c>
      <c r="C8" s="90"/>
      <c r="D8" s="45">
        <v>728</v>
      </c>
      <c r="E8" s="91" t="s">
        <v>320</v>
      </c>
      <c r="F8" s="92"/>
      <c r="G8" s="92"/>
      <c r="H8" s="93"/>
      <c r="I8" s="67">
        <f>150000000-75830216-18957554</f>
        <v>55212230</v>
      </c>
      <c r="J8" s="94"/>
      <c r="K8" s="44"/>
    </row>
    <row r="9" spans="1:11" ht="12.75" customHeight="1" x14ac:dyDescent="0.25">
      <c r="A9" s="43"/>
      <c r="B9" s="48"/>
      <c r="C9" s="49"/>
      <c r="D9" s="39"/>
      <c r="E9" s="39"/>
      <c r="F9" s="32"/>
      <c r="G9" s="46"/>
      <c r="H9" s="47"/>
      <c r="I9" s="68"/>
      <c r="J9" s="39"/>
      <c r="K9" s="44"/>
    </row>
    <row r="10" spans="1:11" x14ac:dyDescent="0.25">
      <c r="A10" s="50"/>
      <c r="B10" s="51"/>
      <c r="C10" s="51"/>
      <c r="D10" s="51"/>
      <c r="E10" s="51"/>
      <c r="F10" s="51"/>
      <c r="G10" s="344" t="s">
        <v>131</v>
      </c>
      <c r="H10" s="345"/>
      <c r="I10" s="69">
        <f>SUM(I7:I9)</f>
        <v>55212230</v>
      </c>
      <c r="J10" s="52"/>
      <c r="K10" s="53"/>
    </row>
    <row r="11" spans="1:11" ht="12.75" customHeight="1" x14ac:dyDescent="0.25">
      <c r="A11" s="3"/>
      <c r="B11" s="3"/>
      <c r="C11" s="3"/>
      <c r="D11" s="3"/>
      <c r="E11" s="3"/>
      <c r="F11" s="3"/>
      <c r="G11" s="3"/>
      <c r="H11" s="3"/>
      <c r="I11" s="22"/>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2.75" hidden="1" customHeight="1" x14ac:dyDescent="0.25">
      <c r="A14" s="43"/>
      <c r="B14" s="36"/>
      <c r="C14" s="59"/>
      <c r="D14" s="45"/>
      <c r="E14" s="39"/>
      <c r="F14" s="44"/>
      <c r="G14" s="39"/>
      <c r="H14" s="44"/>
      <c r="I14" s="62"/>
      <c r="J14" s="62"/>
      <c r="K14" s="62">
        <f>+I14-J14</f>
        <v>0</v>
      </c>
    </row>
    <row r="15" spans="1:11" hidden="1" x14ac:dyDescent="0.25">
      <c r="A15" s="43">
        <v>43122</v>
      </c>
      <c r="B15" s="58" t="s">
        <v>179</v>
      </c>
      <c r="C15" s="59">
        <v>424</v>
      </c>
      <c r="D15" s="45">
        <v>405</v>
      </c>
      <c r="E15" s="39" t="s">
        <v>180</v>
      </c>
      <c r="F15" s="61"/>
      <c r="G15" s="60" t="s">
        <v>207</v>
      </c>
      <c r="H15" s="61"/>
      <c r="I15" s="62">
        <v>3561611</v>
      </c>
      <c r="J15" s="62">
        <v>3561611</v>
      </c>
      <c r="K15" s="62">
        <f>+I15-J15</f>
        <v>0</v>
      </c>
    </row>
    <row r="16" spans="1:11" hidden="1" x14ac:dyDescent="0.25">
      <c r="A16" s="43">
        <v>43152</v>
      </c>
      <c r="B16" s="58" t="s">
        <v>295</v>
      </c>
      <c r="C16" s="59">
        <v>726</v>
      </c>
      <c r="D16" s="45">
        <v>730</v>
      </c>
      <c r="E16" s="39" t="s">
        <v>296</v>
      </c>
      <c r="F16" s="61"/>
      <c r="G16" s="60" t="s">
        <v>207</v>
      </c>
      <c r="H16" s="61"/>
      <c r="I16" s="62">
        <v>1780805</v>
      </c>
      <c r="J16" s="62">
        <v>1780805</v>
      </c>
      <c r="K16" s="62">
        <f>+I16-J16</f>
        <v>0</v>
      </c>
    </row>
    <row r="17" spans="1:11" hidden="1" x14ac:dyDescent="0.25">
      <c r="A17" s="43">
        <v>43362</v>
      </c>
      <c r="B17" s="58" t="s">
        <v>719</v>
      </c>
      <c r="C17" s="59">
        <v>728</v>
      </c>
      <c r="D17" s="45">
        <v>1418</v>
      </c>
      <c r="E17" s="39" t="s">
        <v>720</v>
      </c>
      <c r="F17" s="61"/>
      <c r="G17" s="60" t="s">
        <v>721</v>
      </c>
      <c r="H17" s="61"/>
      <c r="I17" s="62">
        <v>75830216</v>
      </c>
      <c r="J17" s="62">
        <v>75830216</v>
      </c>
      <c r="K17" s="62">
        <f>+I17-J17</f>
        <v>0</v>
      </c>
    </row>
    <row r="18" spans="1:11" x14ac:dyDescent="0.25">
      <c r="A18" s="43">
        <v>43389</v>
      </c>
      <c r="B18" s="58" t="s">
        <v>787</v>
      </c>
      <c r="C18" s="59">
        <v>1325</v>
      </c>
      <c r="D18" s="45">
        <v>1602</v>
      </c>
      <c r="E18" s="39" t="s">
        <v>788</v>
      </c>
      <c r="F18" s="61"/>
      <c r="G18" s="60" t="s">
        <v>789</v>
      </c>
      <c r="H18" s="61"/>
      <c r="I18" s="62">
        <v>5444976</v>
      </c>
      <c r="J18" s="62">
        <v>0</v>
      </c>
      <c r="K18" s="62">
        <f>+I18-J18</f>
        <v>5444976</v>
      </c>
    </row>
    <row r="19" spans="1:11" hidden="1" x14ac:dyDescent="0.25">
      <c r="A19" s="43">
        <v>43424</v>
      </c>
      <c r="B19" s="58" t="s">
        <v>719</v>
      </c>
      <c r="C19" s="59">
        <v>728</v>
      </c>
      <c r="D19" s="45">
        <v>1680</v>
      </c>
      <c r="E19" s="39" t="s">
        <v>838</v>
      </c>
      <c r="F19" s="61"/>
      <c r="G19" s="60" t="s">
        <v>721</v>
      </c>
      <c r="H19" s="61"/>
      <c r="I19" s="62">
        <v>18957554</v>
      </c>
      <c r="J19" s="62">
        <v>18957554</v>
      </c>
      <c r="K19" s="62">
        <f t="shared" ref="K19" si="0">+I19-J19</f>
        <v>0</v>
      </c>
    </row>
    <row r="20" spans="1:11" x14ac:dyDescent="0.25">
      <c r="A20" s="43"/>
      <c r="B20" s="58"/>
      <c r="C20" s="59"/>
      <c r="D20" s="45"/>
      <c r="E20" s="39"/>
      <c r="F20" s="61"/>
      <c r="G20" s="60"/>
      <c r="H20" s="61"/>
      <c r="I20" s="62"/>
      <c r="J20" s="62"/>
      <c r="K20" s="62"/>
    </row>
    <row r="21" spans="1:11" ht="12.75" customHeight="1" x14ac:dyDescent="0.25">
      <c r="A21" s="43"/>
      <c r="B21" s="58"/>
      <c r="C21" s="59"/>
      <c r="D21" s="45"/>
      <c r="E21" s="39"/>
      <c r="F21" s="44"/>
      <c r="G21" s="39"/>
      <c r="H21" s="44"/>
      <c r="I21" s="64"/>
      <c r="J21" s="64"/>
      <c r="K21" s="64"/>
    </row>
    <row r="22" spans="1:11" x14ac:dyDescent="0.25">
      <c r="A22" s="50"/>
      <c r="B22" s="51"/>
      <c r="C22" s="51"/>
      <c r="D22" s="51"/>
      <c r="E22" s="51"/>
      <c r="F22" s="51"/>
      <c r="G22" s="344" t="s">
        <v>131</v>
      </c>
      <c r="H22" s="345"/>
      <c r="I22" s="65">
        <f>SUM(I14:I21)</f>
        <v>105575162</v>
      </c>
      <c r="J22" s="65">
        <f>SUM(J14:J21)</f>
        <v>100130186</v>
      </c>
      <c r="K22" s="65">
        <f>SUM(K14:K21)</f>
        <v>5444976</v>
      </c>
    </row>
    <row r="23" spans="1:11" ht="12.75" customHeight="1" x14ac:dyDescent="0.25">
      <c r="A23" s="3"/>
      <c r="B23" s="3"/>
      <c r="C23" s="3"/>
      <c r="D23" s="3"/>
      <c r="E23" s="3"/>
      <c r="F23" s="3"/>
      <c r="G23" s="3"/>
      <c r="H23" s="3"/>
      <c r="I23" s="86"/>
      <c r="J23" s="86"/>
      <c r="K23" s="51"/>
    </row>
    <row r="24" spans="1:11" ht="24.95" customHeight="1" x14ac:dyDescent="0.25">
      <c r="A24" s="284" t="s">
        <v>58</v>
      </c>
      <c r="B24" s="284" t="s">
        <v>132</v>
      </c>
      <c r="C24" s="284" t="s">
        <v>30</v>
      </c>
      <c r="D24" s="285" t="s">
        <v>59</v>
      </c>
      <c r="E24" s="284" t="s">
        <v>40</v>
      </c>
      <c r="F24" s="284" t="s">
        <v>62</v>
      </c>
      <c r="G24" s="284" t="s">
        <v>37</v>
      </c>
      <c r="H24" s="284" t="s">
        <v>60</v>
      </c>
      <c r="I24" s="284" t="s">
        <v>61</v>
      </c>
      <c r="J24" s="284" t="s">
        <v>98</v>
      </c>
      <c r="K24" s="284" t="s">
        <v>68</v>
      </c>
    </row>
    <row r="25" spans="1:11" ht="24.95" customHeight="1" x14ac:dyDescent="0.25">
      <c r="A25" s="291">
        <v>358000000</v>
      </c>
      <c r="B25" s="291"/>
      <c r="C25" s="291">
        <v>0</v>
      </c>
      <c r="D25" s="287">
        <f>+A25+B25-C25</f>
        <v>358000000</v>
      </c>
      <c r="E25" s="287">
        <f>+I22</f>
        <v>105575162</v>
      </c>
      <c r="F25" s="288">
        <f>+E25/D25</f>
        <v>0.29490268715083801</v>
      </c>
      <c r="G25" s="287">
        <f>+I10</f>
        <v>55212230</v>
      </c>
      <c r="H25" s="287">
        <f>+D25-E25-G25</f>
        <v>197212608</v>
      </c>
      <c r="I25" s="287">
        <f>+J22</f>
        <v>100130186</v>
      </c>
      <c r="J25" s="293">
        <f>+I25/D25</f>
        <v>0.27969325698324021</v>
      </c>
      <c r="K25" s="287">
        <f>+K22</f>
        <v>5444976</v>
      </c>
    </row>
    <row r="26" spans="1:11" x14ac:dyDescent="0.25">
      <c r="A26" s="290">
        <v>1</v>
      </c>
      <c r="B26" s="290">
        <v>2</v>
      </c>
      <c r="C26" s="290">
        <v>3</v>
      </c>
      <c r="D26" s="290" t="s">
        <v>42</v>
      </c>
      <c r="E26" s="290">
        <v>5</v>
      </c>
      <c r="F26" s="290" t="s">
        <v>69</v>
      </c>
      <c r="G26" s="290">
        <v>7</v>
      </c>
      <c r="H26" s="290" t="s">
        <v>70</v>
      </c>
      <c r="I26" s="290">
        <v>9</v>
      </c>
      <c r="J26" s="290" t="s">
        <v>99</v>
      </c>
      <c r="K26" s="290" t="s">
        <v>100</v>
      </c>
    </row>
  </sheetData>
  <mergeCells count="15">
    <mergeCell ref="J5:K6"/>
    <mergeCell ref="E6:H6"/>
    <mergeCell ref="G22:H22"/>
    <mergeCell ref="G10:H10"/>
    <mergeCell ref="A12:A13"/>
    <mergeCell ref="E12:H12"/>
    <mergeCell ref="I12:I13"/>
    <mergeCell ref="J12:J13"/>
    <mergeCell ref="E13:F13"/>
    <mergeCell ref="G13:H13"/>
    <mergeCell ref="A5:A6"/>
    <mergeCell ref="B5:B6"/>
    <mergeCell ref="D5:D6"/>
    <mergeCell ref="E5:H5"/>
    <mergeCell ref="I5:I6"/>
  </mergeCells>
  <printOptions horizontalCentered="1" verticalCentered="1"/>
  <pageMargins left="0.19685039370078741" right="0.19685039370078741" top="0.39370078740157483" bottom="0.39370078740157483" header="0" footer="0"/>
  <pageSetup scale="80" orientation="landscape"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workbookViewId="0">
      <selection activeCell="K3" sqref="K3"/>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1" ht="12.75" customHeight="1" x14ac:dyDescent="0.25">
      <c r="A1" s="2" t="s">
        <v>97</v>
      </c>
      <c r="B1" s="2"/>
      <c r="C1" s="2"/>
      <c r="D1" s="2"/>
      <c r="E1" s="3"/>
      <c r="F1" s="2"/>
      <c r="G1" s="3"/>
      <c r="H1" s="3"/>
      <c r="I1" s="3"/>
      <c r="J1" s="144"/>
      <c r="K1" s="3"/>
    </row>
    <row r="2" spans="1:11" ht="12.75" customHeight="1" x14ac:dyDescent="0.25">
      <c r="A2" s="3"/>
      <c r="B2" s="3"/>
      <c r="C2" s="3"/>
      <c r="D2" s="3"/>
      <c r="E2" s="3"/>
      <c r="F2" s="3"/>
      <c r="G2" s="3"/>
      <c r="H2" s="3"/>
      <c r="I2" s="3"/>
      <c r="J2" s="144"/>
      <c r="K2" s="4"/>
    </row>
    <row r="3" spans="1:11" ht="15" customHeight="1" x14ac:dyDescent="0.25">
      <c r="A3" s="279" t="s">
        <v>153</v>
      </c>
      <c r="B3" s="280" t="s">
        <v>154</v>
      </c>
      <c r="C3" s="279"/>
      <c r="D3" s="279"/>
      <c r="E3" s="281"/>
      <c r="F3" s="281"/>
      <c r="G3" s="281"/>
      <c r="H3" s="281"/>
      <c r="I3" s="281"/>
      <c r="J3" s="282"/>
      <c r="K3" s="277" t="s">
        <v>825</v>
      </c>
    </row>
    <row r="4" spans="1:11" ht="12.75" customHeight="1" x14ac:dyDescent="0.25">
      <c r="A4" s="3"/>
      <c r="B4" s="3"/>
      <c r="C4" s="3"/>
      <c r="D4" s="3"/>
      <c r="E4" s="3"/>
      <c r="F4" s="3"/>
      <c r="G4" s="3"/>
      <c r="H4" s="3"/>
      <c r="I4" s="3"/>
      <c r="J4" s="154"/>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239"/>
      <c r="B7" s="132"/>
      <c r="C7" s="127"/>
      <c r="D7" s="114"/>
      <c r="E7" s="60"/>
      <c r="F7" s="101"/>
      <c r="G7" s="101"/>
      <c r="H7" s="102"/>
      <c r="I7" s="221"/>
      <c r="J7" s="81"/>
      <c r="K7" s="55"/>
    </row>
    <row r="8" spans="1:11" x14ac:dyDescent="0.25">
      <c r="A8" s="239"/>
      <c r="B8" s="132"/>
      <c r="C8" s="127"/>
      <c r="D8" s="114"/>
      <c r="E8" s="60"/>
      <c r="F8" s="101"/>
      <c r="G8" s="101"/>
      <c r="H8" s="102"/>
      <c r="I8" s="221"/>
      <c r="J8" s="81"/>
      <c r="K8" s="100"/>
    </row>
    <row r="9" spans="1:11" x14ac:dyDescent="0.25">
      <c r="A9" s="96"/>
      <c r="B9" s="39"/>
      <c r="C9" s="84"/>
      <c r="D9" s="97"/>
      <c r="E9" s="48"/>
      <c r="F9" s="32"/>
      <c r="G9" s="46"/>
      <c r="H9" s="47"/>
      <c r="I9" s="67"/>
      <c r="J9" s="210"/>
      <c r="K9" s="36"/>
    </row>
    <row r="10" spans="1:11" x14ac:dyDescent="0.25">
      <c r="A10" s="50"/>
      <c r="B10" s="50"/>
      <c r="C10" s="98"/>
      <c r="D10" s="99"/>
      <c r="E10" s="51"/>
      <c r="F10" s="51"/>
      <c r="G10" s="344" t="s">
        <v>131</v>
      </c>
      <c r="H10" s="345"/>
      <c r="I10" s="69">
        <f>SUM(I7:I9)</f>
        <v>0</v>
      </c>
      <c r="J10" s="213"/>
      <c r="K10" s="222"/>
    </row>
    <row r="11" spans="1:11" ht="12.75" customHeight="1" x14ac:dyDescent="0.25">
      <c r="A11" s="3"/>
      <c r="B11" s="3"/>
      <c r="C11" s="3"/>
      <c r="D11" s="3"/>
      <c r="E11" s="3"/>
      <c r="F11" s="3"/>
      <c r="G11" s="3"/>
      <c r="H11" s="3"/>
      <c r="I11" s="47"/>
      <c r="J11" s="154"/>
      <c r="K11" s="44"/>
    </row>
    <row r="12" spans="1:11" x14ac:dyDescent="0.25">
      <c r="A12" s="346" t="s">
        <v>28</v>
      </c>
      <c r="B12" s="30" t="s">
        <v>38</v>
      </c>
      <c r="C12" s="55" t="s">
        <v>34</v>
      </c>
      <c r="D12" s="54" t="s">
        <v>34</v>
      </c>
      <c r="E12" s="350" t="s">
        <v>40</v>
      </c>
      <c r="F12" s="351"/>
      <c r="G12" s="351"/>
      <c r="H12" s="352"/>
      <c r="I12" s="346" t="s">
        <v>31</v>
      </c>
      <c r="J12" s="358" t="s">
        <v>29</v>
      </c>
      <c r="K12" s="55" t="s">
        <v>56</v>
      </c>
    </row>
    <row r="13" spans="1:11" x14ac:dyDescent="0.25">
      <c r="A13" s="347"/>
      <c r="B13" s="56" t="s">
        <v>39</v>
      </c>
      <c r="C13" s="56" t="s">
        <v>36</v>
      </c>
      <c r="D13" s="56" t="s">
        <v>35</v>
      </c>
      <c r="E13" s="350" t="s">
        <v>33</v>
      </c>
      <c r="F13" s="352"/>
      <c r="G13" s="350" t="s">
        <v>32</v>
      </c>
      <c r="H13" s="352"/>
      <c r="I13" s="347"/>
      <c r="J13" s="359"/>
      <c r="K13" s="56" t="s">
        <v>57</v>
      </c>
    </row>
    <row r="14" spans="1:11" x14ac:dyDescent="0.25">
      <c r="A14" s="78"/>
      <c r="B14" s="81"/>
      <c r="C14" s="59"/>
      <c r="D14" s="59"/>
      <c r="E14" s="81"/>
      <c r="F14" s="85"/>
      <c r="G14" s="104"/>
      <c r="H14" s="76"/>
      <c r="I14" s="71"/>
      <c r="J14" s="71"/>
      <c r="K14" s="88">
        <f t="shared" ref="K14:K16" si="0">+I14-J14</f>
        <v>0</v>
      </c>
    </row>
    <row r="15" spans="1:11" x14ac:dyDescent="0.25">
      <c r="A15" s="78">
        <v>43195</v>
      </c>
      <c r="B15" s="104" t="s">
        <v>381</v>
      </c>
      <c r="C15" s="59">
        <v>761</v>
      </c>
      <c r="D15" s="59">
        <v>780</v>
      </c>
      <c r="E15" s="81" t="s">
        <v>382</v>
      </c>
      <c r="F15" s="85"/>
      <c r="G15" s="104" t="s">
        <v>383</v>
      </c>
      <c r="H15" s="76"/>
      <c r="I15" s="71">
        <f>18826178-3326178</f>
        <v>15500000</v>
      </c>
      <c r="J15" s="71">
        <v>15500000</v>
      </c>
      <c r="K15" s="88">
        <f t="shared" si="0"/>
        <v>0</v>
      </c>
    </row>
    <row r="16" spans="1:11" x14ac:dyDescent="0.25">
      <c r="A16" s="78">
        <v>43348</v>
      </c>
      <c r="B16" s="81" t="s">
        <v>695</v>
      </c>
      <c r="C16" s="59">
        <v>946</v>
      </c>
      <c r="D16" s="59">
        <v>1075</v>
      </c>
      <c r="E16" s="81" t="s">
        <v>696</v>
      </c>
      <c r="F16" s="85"/>
      <c r="G16" s="104" t="s">
        <v>697</v>
      </c>
      <c r="H16" s="76"/>
      <c r="I16" s="71">
        <v>865186</v>
      </c>
      <c r="J16" s="71">
        <v>865186</v>
      </c>
      <c r="K16" s="88">
        <f t="shared" si="0"/>
        <v>0</v>
      </c>
    </row>
    <row r="17" spans="1:11" x14ac:dyDescent="0.25">
      <c r="A17" s="78">
        <v>43348</v>
      </c>
      <c r="B17" s="81" t="s">
        <v>695</v>
      </c>
      <c r="C17" s="80">
        <v>946</v>
      </c>
      <c r="D17" s="80">
        <v>1076</v>
      </c>
      <c r="E17" s="32" t="s">
        <v>696</v>
      </c>
      <c r="F17" s="85"/>
      <c r="G17" s="104" t="s">
        <v>698</v>
      </c>
      <c r="H17" s="76"/>
      <c r="I17" s="71">
        <v>865186</v>
      </c>
      <c r="J17" s="71">
        <v>865186</v>
      </c>
      <c r="K17" s="88">
        <f>+I17-J17</f>
        <v>0</v>
      </c>
    </row>
    <row r="18" spans="1:11" x14ac:dyDescent="0.25">
      <c r="A18" s="78">
        <v>43362</v>
      </c>
      <c r="B18" s="81" t="s">
        <v>695</v>
      </c>
      <c r="C18" s="80">
        <v>946</v>
      </c>
      <c r="D18" s="80">
        <v>1410</v>
      </c>
      <c r="E18" s="32" t="s">
        <v>722</v>
      </c>
      <c r="F18" s="85"/>
      <c r="G18" s="104" t="s">
        <v>697</v>
      </c>
      <c r="H18" s="76"/>
      <c r="I18" s="71">
        <v>583070</v>
      </c>
      <c r="J18" s="71">
        <v>583070</v>
      </c>
      <c r="K18" s="88">
        <f t="shared" ref="K18:K19" si="1">+I18-J18</f>
        <v>0</v>
      </c>
    </row>
    <row r="19" spans="1:11" x14ac:dyDescent="0.25">
      <c r="A19" s="78">
        <v>43362</v>
      </c>
      <c r="B19" s="81" t="s">
        <v>695</v>
      </c>
      <c r="C19" s="80">
        <v>946</v>
      </c>
      <c r="D19" s="80">
        <v>1411</v>
      </c>
      <c r="E19" s="32" t="s">
        <v>723</v>
      </c>
      <c r="F19" s="85"/>
      <c r="G19" s="104" t="s">
        <v>698</v>
      </c>
      <c r="H19" s="76"/>
      <c r="I19" s="71">
        <v>583070</v>
      </c>
      <c r="J19" s="71">
        <v>583070</v>
      </c>
      <c r="K19" s="88">
        <f t="shared" si="1"/>
        <v>0</v>
      </c>
    </row>
    <row r="20" spans="1:11" x14ac:dyDescent="0.25">
      <c r="A20" s="105"/>
      <c r="B20" s="106"/>
      <c r="C20" s="97"/>
      <c r="D20" s="97"/>
      <c r="E20" s="32"/>
      <c r="F20" s="49"/>
      <c r="G20" s="32"/>
      <c r="H20" s="49"/>
      <c r="I20" s="70"/>
      <c r="J20" s="83"/>
      <c r="K20" s="70"/>
    </row>
    <row r="21" spans="1:11" ht="12.75" customHeight="1" x14ac:dyDescent="0.25">
      <c r="A21" s="50"/>
      <c r="B21" s="51"/>
      <c r="C21" s="51"/>
      <c r="D21" s="51"/>
      <c r="E21" s="51"/>
      <c r="F21" s="51"/>
      <c r="G21" s="344" t="s">
        <v>131</v>
      </c>
      <c r="H21" s="345"/>
      <c r="I21" s="73">
        <f>SUM(I14:I20)</f>
        <v>18396512</v>
      </c>
      <c r="J21" s="73">
        <f>SUM(J14:J20)</f>
        <v>18396512</v>
      </c>
      <c r="K21" s="73">
        <f>SUM(K14:K20)</f>
        <v>0</v>
      </c>
    </row>
    <row r="22" spans="1:11" ht="24.95" customHeight="1" x14ac:dyDescent="0.25">
      <c r="A22" s="51"/>
      <c r="B22" s="51"/>
      <c r="C22" s="51"/>
      <c r="D22" s="51"/>
      <c r="E22" s="51"/>
      <c r="F22" s="51"/>
      <c r="G22" s="51"/>
      <c r="H22" s="51"/>
      <c r="I22" s="253"/>
      <c r="J22" s="155"/>
      <c r="K22" s="155"/>
    </row>
    <row r="23" spans="1:11" ht="24.95" customHeight="1" x14ac:dyDescent="0.25">
      <c r="A23" s="284" t="s">
        <v>58</v>
      </c>
      <c r="B23" s="284" t="s">
        <v>132</v>
      </c>
      <c r="C23" s="284" t="s">
        <v>30</v>
      </c>
      <c r="D23" s="285" t="s">
        <v>59</v>
      </c>
      <c r="E23" s="284" t="s">
        <v>40</v>
      </c>
      <c r="F23" s="284" t="s">
        <v>62</v>
      </c>
      <c r="G23" s="284" t="s">
        <v>37</v>
      </c>
      <c r="H23" s="284" t="s">
        <v>60</v>
      </c>
      <c r="I23" s="284" t="s">
        <v>61</v>
      </c>
      <c r="J23" s="294" t="s">
        <v>98</v>
      </c>
      <c r="K23" s="284" t="s">
        <v>68</v>
      </c>
    </row>
    <row r="24" spans="1:11" x14ac:dyDescent="0.25">
      <c r="A24" s="291">
        <v>10000000</v>
      </c>
      <c r="B24" s="291">
        <v>8826178</v>
      </c>
      <c r="C24" s="291">
        <v>0</v>
      </c>
      <c r="D24" s="287">
        <f>+A24+B24-C24</f>
        <v>18826178</v>
      </c>
      <c r="E24" s="287">
        <f>+I21</f>
        <v>18396512</v>
      </c>
      <c r="F24" s="288">
        <f>+E24/D24</f>
        <v>0.97717720505989059</v>
      </c>
      <c r="G24" s="287">
        <f>+I10</f>
        <v>0</v>
      </c>
      <c r="H24" s="287">
        <f>+D24-E24-G24</f>
        <v>429666</v>
      </c>
      <c r="I24" s="292">
        <f>+J21</f>
        <v>18396512</v>
      </c>
      <c r="J24" s="293">
        <f>+I24/D24</f>
        <v>0.97717720505989059</v>
      </c>
      <c r="K24" s="292">
        <f>+K21</f>
        <v>0</v>
      </c>
    </row>
    <row r="25" spans="1:11" x14ac:dyDescent="0.25">
      <c r="A25" s="290">
        <v>1</v>
      </c>
      <c r="B25" s="290">
        <v>2</v>
      </c>
      <c r="C25" s="290">
        <v>3</v>
      </c>
      <c r="D25" s="290" t="s">
        <v>42</v>
      </c>
      <c r="E25" s="290">
        <v>5</v>
      </c>
      <c r="F25" s="290" t="s">
        <v>69</v>
      </c>
      <c r="G25" s="290">
        <v>7</v>
      </c>
      <c r="H25" s="290" t="s">
        <v>70</v>
      </c>
      <c r="I25" s="290">
        <v>9</v>
      </c>
      <c r="J25" s="295" t="s">
        <v>99</v>
      </c>
      <c r="K25" s="290" t="s">
        <v>100</v>
      </c>
    </row>
    <row r="27" spans="1:11" x14ac:dyDescent="0.25">
      <c r="B27" s="211"/>
      <c r="E27" s="211"/>
      <c r="G27" s="211"/>
    </row>
  </sheetData>
  <mergeCells count="15">
    <mergeCell ref="A5:A6"/>
    <mergeCell ref="B5:B6"/>
    <mergeCell ref="D5:D6"/>
    <mergeCell ref="E5:H5"/>
    <mergeCell ref="I5:I6"/>
    <mergeCell ref="J5:K6"/>
    <mergeCell ref="E6:H6"/>
    <mergeCell ref="J12:J13"/>
    <mergeCell ref="E13:F13"/>
    <mergeCell ref="G13:H13"/>
    <mergeCell ref="G21:H21"/>
    <mergeCell ref="G10:H10"/>
    <mergeCell ref="A12:A13"/>
    <mergeCell ref="E12:H12"/>
    <mergeCell ref="I12:I13"/>
  </mergeCells>
  <printOptions horizontalCentered="1" verticalCentered="1"/>
  <pageMargins left="0.19685039370078741" right="0.19685039370078741" top="0.39370078740157483" bottom="0.39370078740157483" header="0.31496062992125984" footer="0.31496062992125984"/>
  <pageSetup scale="8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L63"/>
  <sheetViews>
    <sheetView workbookViewId="0">
      <selection activeCell="M39" sqref="M39"/>
    </sheetView>
  </sheetViews>
  <sheetFormatPr baseColWidth="10" defaultRowHeight="15" x14ac:dyDescent="0.25"/>
  <cols>
    <col min="1" max="2" width="15.7109375" style="31" customWidth="1"/>
    <col min="3" max="3" width="14.7109375" style="31" customWidth="1"/>
    <col min="4" max="9" width="15.7109375" style="31" customWidth="1"/>
    <col min="10" max="10" width="15.7109375" style="211" customWidth="1"/>
    <col min="11" max="11" width="15.7109375" style="31" customWidth="1"/>
    <col min="12" max="16384" width="11.42578125" style="31"/>
  </cols>
  <sheetData>
    <row r="1" spans="1:12" ht="12.75" customHeight="1" x14ac:dyDescent="0.25">
      <c r="A1" s="2" t="s">
        <v>97</v>
      </c>
      <c r="B1" s="2"/>
      <c r="C1" s="2"/>
      <c r="D1" s="2"/>
      <c r="E1" s="3"/>
      <c r="F1" s="2"/>
      <c r="G1" s="3"/>
      <c r="H1" s="3"/>
      <c r="I1" s="3"/>
      <c r="J1" s="144"/>
      <c r="K1" s="3"/>
    </row>
    <row r="2" spans="1:12" ht="12.75" customHeight="1" x14ac:dyDescent="0.25">
      <c r="A2" s="3"/>
      <c r="B2" s="3"/>
      <c r="C2" s="3"/>
      <c r="D2" s="3"/>
      <c r="E2" s="3"/>
      <c r="F2" s="3"/>
      <c r="G2" s="3"/>
      <c r="H2" s="3"/>
      <c r="I2" s="3"/>
      <c r="J2" s="144"/>
      <c r="K2" s="4"/>
    </row>
    <row r="3" spans="1:12" ht="15" customHeight="1" x14ac:dyDescent="0.25">
      <c r="A3" s="275" t="s">
        <v>104</v>
      </c>
      <c r="B3" s="278" t="s">
        <v>47</v>
      </c>
      <c r="C3" s="275"/>
      <c r="D3" s="275"/>
      <c r="E3" s="276"/>
      <c r="F3" s="276"/>
      <c r="G3" s="276"/>
      <c r="H3" s="276"/>
      <c r="I3" s="276"/>
      <c r="J3" s="283"/>
      <c r="K3" s="277" t="s">
        <v>825</v>
      </c>
    </row>
    <row r="4" spans="1:12" ht="12.75" customHeight="1" x14ac:dyDescent="0.25">
      <c r="A4" s="3"/>
      <c r="B4" s="3"/>
      <c r="C4" s="3"/>
      <c r="D4" s="3"/>
      <c r="E4" s="3"/>
      <c r="F4" s="3"/>
      <c r="G4" s="3"/>
      <c r="H4" s="3"/>
      <c r="I4" s="3"/>
      <c r="J4" s="154"/>
      <c r="K4" s="33"/>
    </row>
    <row r="5" spans="1:12" x14ac:dyDescent="0.25">
      <c r="A5" s="346" t="s">
        <v>28</v>
      </c>
      <c r="B5" s="348" t="s">
        <v>130</v>
      </c>
      <c r="C5" s="34"/>
      <c r="D5" s="346" t="s">
        <v>71</v>
      </c>
      <c r="E5" s="350" t="s">
        <v>37</v>
      </c>
      <c r="F5" s="351"/>
      <c r="G5" s="351"/>
      <c r="H5" s="352"/>
      <c r="I5" s="346" t="s">
        <v>31</v>
      </c>
      <c r="J5" s="353" t="s">
        <v>41</v>
      </c>
      <c r="K5" s="354"/>
    </row>
    <row r="6" spans="1:12" x14ac:dyDescent="0.25">
      <c r="A6" s="347"/>
      <c r="B6" s="357"/>
      <c r="C6" s="35"/>
      <c r="D6" s="347"/>
      <c r="E6" s="350" t="s">
        <v>33</v>
      </c>
      <c r="F6" s="351"/>
      <c r="G6" s="351"/>
      <c r="H6" s="352"/>
      <c r="I6" s="347"/>
      <c r="J6" s="355"/>
      <c r="K6" s="356"/>
    </row>
    <row r="7" spans="1:12" ht="15" customHeight="1" x14ac:dyDescent="0.25">
      <c r="A7" s="96"/>
      <c r="B7" s="132"/>
      <c r="C7" s="84"/>
      <c r="D7" s="45"/>
      <c r="E7" s="255"/>
      <c r="F7" s="32"/>
      <c r="G7" s="46"/>
      <c r="H7" s="47"/>
      <c r="I7" s="221"/>
      <c r="J7" s="32"/>
      <c r="K7" s="44"/>
    </row>
    <row r="8" spans="1:12" ht="15" customHeight="1" x14ac:dyDescent="0.25">
      <c r="A8" s="96">
        <v>43104</v>
      </c>
      <c r="B8" s="132" t="s">
        <v>172</v>
      </c>
      <c r="C8" s="84"/>
      <c r="D8" s="45">
        <v>116</v>
      </c>
      <c r="E8" s="255" t="s">
        <v>208</v>
      </c>
      <c r="F8" s="32"/>
      <c r="G8" s="46"/>
      <c r="H8" s="47"/>
      <c r="I8" s="221">
        <v>9939829</v>
      </c>
      <c r="J8" s="32" t="s">
        <v>178</v>
      </c>
      <c r="K8" s="44"/>
    </row>
    <row r="9" spans="1:12" ht="15" customHeight="1" x14ac:dyDescent="0.25">
      <c r="A9" s="96">
        <v>43104</v>
      </c>
      <c r="B9" s="132" t="s">
        <v>172</v>
      </c>
      <c r="C9" s="84"/>
      <c r="D9" s="45">
        <v>117</v>
      </c>
      <c r="E9" s="255" t="s">
        <v>209</v>
      </c>
      <c r="F9" s="32"/>
      <c r="G9" s="46"/>
      <c r="H9" s="47"/>
      <c r="I9" s="221">
        <f>1583400-112600-112600-112600-112600-112600-112600-112600-112600-112600-118900</f>
        <v>451100</v>
      </c>
      <c r="J9" s="32" t="s">
        <v>178</v>
      </c>
      <c r="K9" s="44"/>
    </row>
    <row r="10" spans="1:12" ht="15" customHeight="1" x14ac:dyDescent="0.25">
      <c r="A10" s="96">
        <v>43104</v>
      </c>
      <c r="B10" s="132" t="s">
        <v>172</v>
      </c>
      <c r="C10" s="84"/>
      <c r="D10" s="45">
        <v>118</v>
      </c>
      <c r="E10" s="255" t="s">
        <v>210</v>
      </c>
      <c r="F10" s="32"/>
      <c r="G10" s="46"/>
      <c r="H10" s="47"/>
      <c r="I10" s="221">
        <f>10165000-2296717-1531144-2296716-765572-765572-1245930</f>
        <v>1263349</v>
      </c>
      <c r="J10" s="32" t="s">
        <v>178</v>
      </c>
      <c r="K10" s="44"/>
    </row>
    <row r="11" spans="1:12" ht="15" customHeight="1" x14ac:dyDescent="0.25">
      <c r="A11" s="96">
        <v>43172</v>
      </c>
      <c r="B11" s="132" t="s">
        <v>172</v>
      </c>
      <c r="C11" s="84"/>
      <c r="D11" s="45">
        <v>741</v>
      </c>
      <c r="E11" s="255" t="s">
        <v>342</v>
      </c>
      <c r="F11" s="32"/>
      <c r="G11" s="46"/>
      <c r="H11" s="47"/>
      <c r="I11" s="221">
        <f>3800000-117600-27600-245400</f>
        <v>3409400</v>
      </c>
      <c r="J11" s="32"/>
      <c r="K11" s="44"/>
    </row>
    <row r="12" spans="1:12" ht="15" customHeight="1" x14ac:dyDescent="0.25">
      <c r="A12" s="96">
        <v>43293</v>
      </c>
      <c r="B12" s="132" t="s">
        <v>172</v>
      </c>
      <c r="C12" s="84"/>
      <c r="D12" s="45">
        <v>837</v>
      </c>
      <c r="E12" s="255" t="s">
        <v>536</v>
      </c>
      <c r="F12" s="32"/>
      <c r="G12" s="46"/>
      <c r="H12" s="47"/>
      <c r="I12" s="221">
        <v>181362</v>
      </c>
      <c r="J12" s="32" t="s">
        <v>178</v>
      </c>
      <c r="K12" s="44"/>
    </row>
    <row r="13" spans="1:12" ht="15" customHeight="1" x14ac:dyDescent="0.25">
      <c r="A13" s="96">
        <v>43363</v>
      </c>
      <c r="B13" s="132" t="s">
        <v>172</v>
      </c>
      <c r="C13" s="84"/>
      <c r="D13" s="45">
        <v>1327</v>
      </c>
      <c r="E13" s="255" t="s">
        <v>738</v>
      </c>
      <c r="F13" s="32"/>
      <c r="G13" s="46"/>
      <c r="H13" s="47"/>
      <c r="I13" s="221">
        <v>67727952</v>
      </c>
      <c r="J13" s="32"/>
      <c r="K13" s="44"/>
      <c r="L13" s="212"/>
    </row>
    <row r="14" spans="1:12" ht="15" customHeight="1" x14ac:dyDescent="0.25">
      <c r="A14" s="96"/>
      <c r="B14" s="132"/>
      <c r="C14" s="84"/>
      <c r="D14" s="45"/>
      <c r="E14" s="255"/>
      <c r="F14" s="32"/>
      <c r="G14" s="46"/>
      <c r="H14" s="47"/>
      <c r="I14" s="221"/>
      <c r="J14" s="32"/>
      <c r="K14" s="44"/>
    </row>
    <row r="15" spans="1:12" x14ac:dyDescent="0.25">
      <c r="A15" s="50"/>
      <c r="B15" s="50"/>
      <c r="C15" s="98"/>
      <c r="D15" s="99"/>
      <c r="E15" s="51"/>
      <c r="F15" s="51"/>
      <c r="G15" s="344" t="s">
        <v>131</v>
      </c>
      <c r="H15" s="345"/>
      <c r="I15" s="69">
        <f>SUM(I8:I14)</f>
        <v>82972992</v>
      </c>
      <c r="J15" s="32"/>
      <c r="K15" s="44"/>
    </row>
    <row r="16" spans="1:12" ht="12.75" customHeight="1" x14ac:dyDescent="0.25">
      <c r="A16" s="3"/>
      <c r="B16" s="3"/>
      <c r="C16" s="3"/>
      <c r="D16" s="3"/>
      <c r="E16" s="3"/>
      <c r="F16" s="3"/>
      <c r="G16" s="3"/>
      <c r="H16" s="3"/>
      <c r="I16" s="47"/>
      <c r="J16" s="154"/>
      <c r="K16" s="68"/>
    </row>
    <row r="17" spans="1:11" x14ac:dyDescent="0.25">
      <c r="A17" s="346" t="s">
        <v>28</v>
      </c>
      <c r="B17" s="30" t="s">
        <v>38</v>
      </c>
      <c r="C17" s="55" t="s">
        <v>34</v>
      </c>
      <c r="D17" s="54" t="s">
        <v>34</v>
      </c>
      <c r="E17" s="350" t="s">
        <v>40</v>
      </c>
      <c r="F17" s="351"/>
      <c r="G17" s="351"/>
      <c r="H17" s="352"/>
      <c r="I17" s="346" t="s">
        <v>31</v>
      </c>
      <c r="J17" s="358" t="s">
        <v>29</v>
      </c>
      <c r="K17" s="55" t="s">
        <v>56</v>
      </c>
    </row>
    <row r="18" spans="1:11" x14ac:dyDescent="0.25">
      <c r="A18" s="347"/>
      <c r="B18" s="56" t="s">
        <v>39</v>
      </c>
      <c r="C18" s="56" t="s">
        <v>36</v>
      </c>
      <c r="D18" s="56" t="s">
        <v>35</v>
      </c>
      <c r="E18" s="350" t="s">
        <v>33</v>
      </c>
      <c r="F18" s="352"/>
      <c r="G18" s="350" t="s">
        <v>32</v>
      </c>
      <c r="H18" s="352"/>
      <c r="I18" s="347"/>
      <c r="J18" s="359"/>
      <c r="K18" s="56" t="s">
        <v>57</v>
      </c>
    </row>
    <row r="19" spans="1:11" ht="15" hidden="1" customHeight="1" x14ac:dyDescent="0.25">
      <c r="A19" s="78">
        <v>43112</v>
      </c>
      <c r="B19" s="225" t="s">
        <v>160</v>
      </c>
      <c r="C19" s="80">
        <v>117</v>
      </c>
      <c r="D19" s="80">
        <v>136</v>
      </c>
      <c r="E19" s="81" t="s">
        <v>211</v>
      </c>
      <c r="F19" s="81"/>
      <c r="G19" s="77" t="s">
        <v>161</v>
      </c>
      <c r="H19" s="76"/>
      <c r="I19" s="71">
        <v>112600</v>
      </c>
      <c r="J19" s="71">
        <v>112600</v>
      </c>
      <c r="K19" s="88">
        <f t="shared" ref="K19:K54" si="0">+I19-J19</f>
        <v>0</v>
      </c>
    </row>
    <row r="20" spans="1:11" hidden="1" x14ac:dyDescent="0.25">
      <c r="A20" s="78">
        <v>43119</v>
      </c>
      <c r="B20" s="225" t="s">
        <v>181</v>
      </c>
      <c r="C20" s="59">
        <v>116</v>
      </c>
      <c r="D20" s="59">
        <v>292</v>
      </c>
      <c r="E20" s="81" t="s">
        <v>212</v>
      </c>
      <c r="F20" s="85"/>
      <c r="G20" s="104" t="s">
        <v>213</v>
      </c>
      <c r="H20" s="76"/>
      <c r="I20" s="71">
        <v>3499269</v>
      </c>
      <c r="J20" s="71">
        <v>3499269</v>
      </c>
      <c r="K20" s="88">
        <f t="shared" si="0"/>
        <v>0</v>
      </c>
    </row>
    <row r="21" spans="1:11" x14ac:dyDescent="0.25">
      <c r="A21" s="78">
        <v>43138</v>
      </c>
      <c r="B21" s="225" t="s">
        <v>241</v>
      </c>
      <c r="C21" s="80">
        <v>484</v>
      </c>
      <c r="D21" s="80">
        <v>686</v>
      </c>
      <c r="E21" s="81" t="s">
        <v>243</v>
      </c>
      <c r="F21" s="85"/>
      <c r="G21" s="104" t="s">
        <v>245</v>
      </c>
      <c r="H21" s="76"/>
      <c r="I21" s="71">
        <v>217326616</v>
      </c>
      <c r="J21" s="71">
        <v>185830700</v>
      </c>
      <c r="K21" s="88">
        <f t="shared" si="0"/>
        <v>31495916</v>
      </c>
    </row>
    <row r="22" spans="1:11" hidden="1" x14ac:dyDescent="0.25">
      <c r="A22" s="78">
        <v>43144</v>
      </c>
      <c r="B22" s="225" t="s">
        <v>242</v>
      </c>
      <c r="C22" s="80">
        <v>117</v>
      </c>
      <c r="D22" s="80">
        <v>693</v>
      </c>
      <c r="E22" s="32" t="s">
        <v>244</v>
      </c>
      <c r="F22" s="85"/>
      <c r="G22" s="104" t="s">
        <v>161</v>
      </c>
      <c r="H22" s="76"/>
      <c r="I22" s="71">
        <v>112600</v>
      </c>
      <c r="J22" s="71">
        <v>112600</v>
      </c>
      <c r="K22" s="88">
        <f t="shared" si="0"/>
        <v>0</v>
      </c>
    </row>
    <row r="23" spans="1:11" hidden="1" x14ac:dyDescent="0.25">
      <c r="A23" s="78">
        <v>43145</v>
      </c>
      <c r="B23" s="225" t="s">
        <v>297</v>
      </c>
      <c r="C23" s="80">
        <v>116</v>
      </c>
      <c r="D23" s="80">
        <v>694</v>
      </c>
      <c r="E23" s="32" t="s">
        <v>260</v>
      </c>
      <c r="F23" s="85"/>
      <c r="G23" s="104" t="s">
        <v>213</v>
      </c>
      <c r="H23" s="76"/>
      <c r="I23" s="71">
        <v>2759570</v>
      </c>
      <c r="J23" s="71">
        <v>2759570</v>
      </c>
      <c r="K23" s="88">
        <f t="shared" si="0"/>
        <v>0</v>
      </c>
    </row>
    <row r="24" spans="1:11" hidden="1" x14ac:dyDescent="0.25">
      <c r="A24" s="78">
        <v>43151</v>
      </c>
      <c r="B24" s="225" t="s">
        <v>298</v>
      </c>
      <c r="C24" s="80">
        <v>116</v>
      </c>
      <c r="D24" s="80">
        <v>727</v>
      </c>
      <c r="E24" s="32" t="s">
        <v>300</v>
      </c>
      <c r="F24" s="85"/>
      <c r="G24" s="104" t="s">
        <v>213</v>
      </c>
      <c r="H24" s="76"/>
      <c r="I24" s="71">
        <v>3500000</v>
      </c>
      <c r="J24" s="71">
        <v>3500000</v>
      </c>
      <c r="K24" s="88">
        <f t="shared" si="0"/>
        <v>0</v>
      </c>
    </row>
    <row r="25" spans="1:11" hidden="1" x14ac:dyDescent="0.25">
      <c r="A25" s="78">
        <v>43151</v>
      </c>
      <c r="B25" s="225" t="s">
        <v>299</v>
      </c>
      <c r="C25" s="80">
        <v>118</v>
      </c>
      <c r="D25" s="80">
        <v>728</v>
      </c>
      <c r="E25" s="32" t="s">
        <v>301</v>
      </c>
      <c r="F25" s="85"/>
      <c r="G25" s="104" t="s">
        <v>303</v>
      </c>
      <c r="H25" s="76"/>
      <c r="I25" s="71">
        <v>2296717</v>
      </c>
      <c r="J25" s="71">
        <v>2296717</v>
      </c>
      <c r="K25" s="88">
        <f t="shared" si="0"/>
        <v>0</v>
      </c>
    </row>
    <row r="26" spans="1:11" hidden="1" x14ac:dyDescent="0.25">
      <c r="A26" s="78">
        <v>43153</v>
      </c>
      <c r="B26" s="225" t="s">
        <v>297</v>
      </c>
      <c r="C26" s="80">
        <v>116</v>
      </c>
      <c r="D26" s="80">
        <v>731</v>
      </c>
      <c r="E26" s="32" t="s">
        <v>302</v>
      </c>
      <c r="F26" s="85"/>
      <c r="G26" s="104" t="s">
        <v>213</v>
      </c>
      <c r="H26" s="76"/>
      <c r="I26" s="71">
        <v>3499269</v>
      </c>
      <c r="J26" s="71">
        <v>3499269</v>
      </c>
      <c r="K26" s="88">
        <f t="shared" si="0"/>
        <v>0</v>
      </c>
    </row>
    <row r="27" spans="1:11" hidden="1" x14ac:dyDescent="0.25">
      <c r="A27" s="78">
        <v>43172</v>
      </c>
      <c r="B27" s="225" t="s">
        <v>343</v>
      </c>
      <c r="C27" s="80">
        <v>117</v>
      </c>
      <c r="D27" s="80">
        <v>752</v>
      </c>
      <c r="E27" s="32" t="s">
        <v>345</v>
      </c>
      <c r="F27" s="85"/>
      <c r="G27" s="104" t="s">
        <v>161</v>
      </c>
      <c r="H27" s="76"/>
      <c r="I27" s="71">
        <v>112600</v>
      </c>
      <c r="J27" s="71">
        <v>112600</v>
      </c>
      <c r="K27" s="88">
        <f t="shared" si="0"/>
        <v>0</v>
      </c>
    </row>
    <row r="28" spans="1:11" hidden="1" x14ac:dyDescent="0.25">
      <c r="A28" s="78">
        <v>43172</v>
      </c>
      <c r="B28" s="225" t="s">
        <v>344</v>
      </c>
      <c r="C28" s="80">
        <v>116</v>
      </c>
      <c r="D28" s="80">
        <v>754</v>
      </c>
      <c r="E28" s="32" t="s">
        <v>346</v>
      </c>
      <c r="F28" s="85"/>
      <c r="G28" s="104" t="s">
        <v>213</v>
      </c>
      <c r="H28" s="76"/>
      <c r="I28" s="71">
        <v>3604318</v>
      </c>
      <c r="J28" s="71">
        <v>3604318</v>
      </c>
      <c r="K28" s="88">
        <f t="shared" si="0"/>
        <v>0</v>
      </c>
    </row>
    <row r="29" spans="1:11" hidden="1" x14ac:dyDescent="0.25">
      <c r="A29" s="78">
        <v>43206</v>
      </c>
      <c r="B29" s="225" t="s">
        <v>396</v>
      </c>
      <c r="C29" s="80">
        <v>118</v>
      </c>
      <c r="D29" s="80">
        <v>792</v>
      </c>
      <c r="E29" s="32" t="s">
        <v>398</v>
      </c>
      <c r="F29" s="85"/>
      <c r="G29" s="104" t="s">
        <v>303</v>
      </c>
      <c r="H29" s="76"/>
      <c r="I29" s="71">
        <v>1531144</v>
      </c>
      <c r="J29" s="71">
        <v>1531144</v>
      </c>
      <c r="K29" s="88">
        <f t="shared" si="0"/>
        <v>0</v>
      </c>
    </row>
    <row r="30" spans="1:11" hidden="1" x14ac:dyDescent="0.25">
      <c r="A30" s="78">
        <v>43208</v>
      </c>
      <c r="B30" s="225" t="s">
        <v>397</v>
      </c>
      <c r="C30" s="80">
        <v>117</v>
      </c>
      <c r="D30" s="80">
        <v>798</v>
      </c>
      <c r="E30" s="32" t="s">
        <v>399</v>
      </c>
      <c r="F30" s="85"/>
      <c r="G30" s="104" t="s">
        <v>161</v>
      </c>
      <c r="H30" s="76"/>
      <c r="I30" s="71">
        <v>112600</v>
      </c>
      <c r="J30" s="71">
        <v>112600</v>
      </c>
      <c r="K30" s="88">
        <f t="shared" si="0"/>
        <v>0</v>
      </c>
    </row>
    <row r="31" spans="1:11" hidden="1" x14ac:dyDescent="0.25">
      <c r="A31" s="78">
        <v>43215</v>
      </c>
      <c r="B31" s="225" t="s">
        <v>419</v>
      </c>
      <c r="C31" s="80">
        <v>116</v>
      </c>
      <c r="D31" s="80">
        <v>807</v>
      </c>
      <c r="E31" s="32" t="s">
        <v>420</v>
      </c>
      <c r="F31" s="85"/>
      <c r="G31" s="104" t="s">
        <v>213</v>
      </c>
      <c r="H31" s="76"/>
      <c r="I31" s="71">
        <v>3604318</v>
      </c>
      <c r="J31" s="71">
        <v>3604318</v>
      </c>
      <c r="K31" s="88">
        <f t="shared" si="0"/>
        <v>0</v>
      </c>
    </row>
    <row r="32" spans="1:11" hidden="1" x14ac:dyDescent="0.25">
      <c r="A32" s="78">
        <v>43229</v>
      </c>
      <c r="B32" s="225" t="s">
        <v>441</v>
      </c>
      <c r="C32" s="80">
        <v>117</v>
      </c>
      <c r="D32" s="80">
        <v>823</v>
      </c>
      <c r="E32" s="32" t="s">
        <v>442</v>
      </c>
      <c r="F32" s="85"/>
      <c r="G32" s="104" t="s">
        <v>161</v>
      </c>
      <c r="H32" s="76"/>
      <c r="I32" s="71">
        <v>112600</v>
      </c>
      <c r="J32" s="71">
        <v>112600</v>
      </c>
      <c r="K32" s="88">
        <f t="shared" si="0"/>
        <v>0</v>
      </c>
    </row>
    <row r="33" spans="1:11" hidden="1" x14ac:dyDescent="0.25">
      <c r="A33" s="78">
        <v>43241</v>
      </c>
      <c r="B33" s="225" t="s">
        <v>466</v>
      </c>
      <c r="C33" s="80">
        <v>741</v>
      </c>
      <c r="D33" s="80">
        <v>836</v>
      </c>
      <c r="E33" s="32" t="s">
        <v>467</v>
      </c>
      <c r="F33" s="85"/>
      <c r="G33" s="104" t="s">
        <v>468</v>
      </c>
      <c r="H33" s="76"/>
      <c r="I33" s="71">
        <v>117600</v>
      </c>
      <c r="J33" s="71">
        <v>117600</v>
      </c>
      <c r="K33" s="88">
        <f t="shared" si="0"/>
        <v>0</v>
      </c>
    </row>
    <row r="34" spans="1:11" hidden="1" x14ac:dyDescent="0.25">
      <c r="A34" s="78">
        <v>43266</v>
      </c>
      <c r="B34" s="225" t="s">
        <v>505</v>
      </c>
      <c r="C34" s="80">
        <v>814</v>
      </c>
      <c r="D34" s="80">
        <v>874</v>
      </c>
      <c r="E34" s="32" t="s">
        <v>506</v>
      </c>
      <c r="F34" s="85"/>
      <c r="G34" s="104" t="s">
        <v>507</v>
      </c>
      <c r="H34" s="76"/>
      <c r="I34" s="71">
        <v>20874000</v>
      </c>
      <c r="J34" s="71">
        <v>20874000</v>
      </c>
      <c r="K34" s="88">
        <f t="shared" si="0"/>
        <v>0</v>
      </c>
    </row>
    <row r="35" spans="1:11" hidden="1" x14ac:dyDescent="0.25">
      <c r="A35" s="78">
        <v>43271</v>
      </c>
      <c r="B35" s="225" t="s">
        <v>512</v>
      </c>
      <c r="C35" s="80">
        <v>117</v>
      </c>
      <c r="D35" s="80">
        <v>881</v>
      </c>
      <c r="E35" s="32" t="s">
        <v>513</v>
      </c>
      <c r="F35" s="85"/>
      <c r="G35" s="104" t="s">
        <v>161</v>
      </c>
      <c r="H35" s="76"/>
      <c r="I35" s="71">
        <v>112600</v>
      </c>
      <c r="J35" s="71">
        <v>112600</v>
      </c>
      <c r="K35" s="88">
        <f t="shared" si="0"/>
        <v>0</v>
      </c>
    </row>
    <row r="36" spans="1:11" hidden="1" x14ac:dyDescent="0.25">
      <c r="A36" s="78">
        <v>43276</v>
      </c>
      <c r="B36" s="309" t="s">
        <v>522</v>
      </c>
      <c r="C36" s="80">
        <v>118</v>
      </c>
      <c r="D36" s="80">
        <v>894</v>
      </c>
      <c r="E36" s="32" t="s">
        <v>523</v>
      </c>
      <c r="F36" s="85"/>
      <c r="G36" s="104" t="s">
        <v>303</v>
      </c>
      <c r="H36" s="76"/>
      <c r="I36" s="71">
        <v>2296716</v>
      </c>
      <c r="J36" s="71">
        <v>2296716</v>
      </c>
      <c r="K36" s="88">
        <f t="shared" si="0"/>
        <v>0</v>
      </c>
    </row>
    <row r="37" spans="1:11" hidden="1" x14ac:dyDescent="0.25">
      <c r="A37" s="78">
        <v>43304</v>
      </c>
      <c r="B37" s="309" t="s">
        <v>557</v>
      </c>
      <c r="C37" s="80">
        <v>117</v>
      </c>
      <c r="D37" s="80">
        <v>935</v>
      </c>
      <c r="E37" s="32" t="s">
        <v>558</v>
      </c>
      <c r="F37" s="85"/>
      <c r="G37" s="104" t="s">
        <v>161</v>
      </c>
      <c r="H37" s="76"/>
      <c r="I37" s="71">
        <v>112600</v>
      </c>
      <c r="J37" s="71">
        <v>112600</v>
      </c>
      <c r="K37" s="88">
        <f t="shared" si="0"/>
        <v>0</v>
      </c>
    </row>
    <row r="38" spans="1:11" hidden="1" x14ac:dyDescent="0.25">
      <c r="A38" s="78">
        <v>43311</v>
      </c>
      <c r="B38" s="309" t="s">
        <v>505</v>
      </c>
      <c r="C38" s="80">
        <v>851</v>
      </c>
      <c r="D38" s="80">
        <v>953</v>
      </c>
      <c r="E38" s="32" t="s">
        <v>571</v>
      </c>
      <c r="F38" s="85"/>
      <c r="G38" s="104" t="s">
        <v>507</v>
      </c>
      <c r="H38" s="76"/>
      <c r="I38" s="71">
        <v>7100000</v>
      </c>
      <c r="J38" s="71">
        <v>7100000</v>
      </c>
      <c r="K38" s="88">
        <f t="shared" si="0"/>
        <v>0</v>
      </c>
    </row>
    <row r="39" spans="1:11" x14ac:dyDescent="0.25">
      <c r="A39" s="78">
        <v>43312</v>
      </c>
      <c r="B39" s="309" t="s">
        <v>570</v>
      </c>
      <c r="C39" s="80">
        <v>837</v>
      </c>
      <c r="D39" s="80">
        <v>954</v>
      </c>
      <c r="E39" s="32" t="s">
        <v>572</v>
      </c>
      <c r="F39" s="85"/>
      <c r="G39" s="104" t="s">
        <v>573</v>
      </c>
      <c r="H39" s="76"/>
      <c r="I39" s="71">
        <v>36067718</v>
      </c>
      <c r="J39" s="71">
        <v>0</v>
      </c>
      <c r="K39" s="88">
        <f t="shared" si="0"/>
        <v>36067718</v>
      </c>
    </row>
    <row r="40" spans="1:11" hidden="1" x14ac:dyDescent="0.25">
      <c r="A40" s="78">
        <v>43313</v>
      </c>
      <c r="B40" s="309" t="s">
        <v>590</v>
      </c>
      <c r="C40" s="80">
        <v>117</v>
      </c>
      <c r="D40" s="80">
        <v>956</v>
      </c>
      <c r="E40" s="32" t="s">
        <v>592</v>
      </c>
      <c r="F40" s="81"/>
      <c r="G40" s="77" t="s">
        <v>161</v>
      </c>
      <c r="H40" s="76"/>
      <c r="I40" s="71">
        <v>112600</v>
      </c>
      <c r="J40" s="71">
        <v>112600</v>
      </c>
      <c r="K40" s="88">
        <f t="shared" si="0"/>
        <v>0</v>
      </c>
    </row>
    <row r="41" spans="1:11" hidden="1" x14ac:dyDescent="0.25">
      <c r="A41" s="78">
        <v>43315</v>
      </c>
      <c r="B41" s="309" t="s">
        <v>591</v>
      </c>
      <c r="C41" s="80">
        <v>118</v>
      </c>
      <c r="D41" s="236">
        <v>962</v>
      </c>
      <c r="E41" s="32" t="s">
        <v>593</v>
      </c>
      <c r="F41" s="81"/>
      <c r="G41" s="77" t="s">
        <v>303</v>
      </c>
      <c r="H41" s="76"/>
      <c r="I41" s="71">
        <v>765572</v>
      </c>
      <c r="J41" s="71">
        <v>765572</v>
      </c>
      <c r="K41" s="88">
        <f t="shared" si="0"/>
        <v>0</v>
      </c>
    </row>
    <row r="42" spans="1:11" x14ac:dyDescent="0.25">
      <c r="A42" s="306">
        <v>43328</v>
      </c>
      <c r="B42" s="309" t="s">
        <v>628</v>
      </c>
      <c r="C42" s="59">
        <v>794</v>
      </c>
      <c r="D42" s="316">
        <v>999</v>
      </c>
      <c r="E42" s="39" t="s">
        <v>629</v>
      </c>
      <c r="F42" s="81"/>
      <c r="G42" s="77" t="s">
        <v>507</v>
      </c>
      <c r="H42" s="76"/>
      <c r="I42" s="71">
        <v>132600006</v>
      </c>
      <c r="J42" s="71">
        <v>56385000</v>
      </c>
      <c r="K42" s="88">
        <f t="shared" si="0"/>
        <v>76215006</v>
      </c>
    </row>
    <row r="43" spans="1:11" x14ac:dyDescent="0.25">
      <c r="A43" s="306">
        <v>43328</v>
      </c>
      <c r="B43" s="309" t="s">
        <v>653</v>
      </c>
      <c r="C43" s="59">
        <v>860</v>
      </c>
      <c r="D43" s="114">
        <v>1000</v>
      </c>
      <c r="E43" s="39" t="s">
        <v>594</v>
      </c>
      <c r="F43" s="81"/>
      <c r="G43" s="39" t="s">
        <v>245</v>
      </c>
      <c r="H43" s="76"/>
      <c r="I43" s="71">
        <v>194049197</v>
      </c>
      <c r="J43" s="71">
        <v>0</v>
      </c>
      <c r="K43" s="88">
        <f t="shared" si="0"/>
        <v>194049197</v>
      </c>
    </row>
    <row r="44" spans="1:11" hidden="1" x14ac:dyDescent="0.25">
      <c r="A44" s="306">
        <v>43334</v>
      </c>
      <c r="B44" s="309" t="s">
        <v>654</v>
      </c>
      <c r="C44" s="59">
        <v>116</v>
      </c>
      <c r="D44" s="114">
        <v>1020</v>
      </c>
      <c r="E44" s="39" t="s">
        <v>655</v>
      </c>
      <c r="F44" s="81"/>
      <c r="G44" s="39" t="s">
        <v>213</v>
      </c>
      <c r="H44" s="76"/>
      <c r="I44" s="71">
        <v>14417272</v>
      </c>
      <c r="J44" s="71">
        <v>14417272</v>
      </c>
      <c r="K44" s="88">
        <f t="shared" si="0"/>
        <v>0</v>
      </c>
    </row>
    <row r="45" spans="1:11" hidden="1" x14ac:dyDescent="0.25">
      <c r="A45" s="306">
        <v>43339</v>
      </c>
      <c r="B45" s="309" t="s">
        <v>682</v>
      </c>
      <c r="C45" s="59">
        <v>118</v>
      </c>
      <c r="D45" s="114">
        <v>1026</v>
      </c>
      <c r="E45" s="39" t="s">
        <v>683</v>
      </c>
      <c r="F45" s="81"/>
      <c r="G45" s="39" t="s">
        <v>303</v>
      </c>
      <c r="H45" s="76"/>
      <c r="I45" s="71">
        <v>765572</v>
      </c>
      <c r="J45" s="71">
        <v>765572</v>
      </c>
      <c r="K45" s="88">
        <f t="shared" si="0"/>
        <v>0</v>
      </c>
    </row>
    <row r="46" spans="1:11" hidden="1" x14ac:dyDescent="0.25">
      <c r="A46" s="306">
        <v>43341</v>
      </c>
      <c r="B46" s="309" t="s">
        <v>680</v>
      </c>
      <c r="C46" s="59">
        <v>117</v>
      </c>
      <c r="D46" s="114">
        <v>1032</v>
      </c>
      <c r="E46" s="39" t="s">
        <v>681</v>
      </c>
      <c r="F46" s="81"/>
      <c r="G46" s="39" t="s">
        <v>161</v>
      </c>
      <c r="H46" s="76"/>
      <c r="I46" s="71">
        <v>112600</v>
      </c>
      <c r="J46" s="71">
        <v>112600</v>
      </c>
      <c r="K46" s="88">
        <f t="shared" si="0"/>
        <v>0</v>
      </c>
    </row>
    <row r="47" spans="1:11" hidden="1" x14ac:dyDescent="0.25">
      <c r="A47" s="306">
        <v>43355</v>
      </c>
      <c r="B47" s="309" t="s">
        <v>699</v>
      </c>
      <c r="C47" s="59">
        <v>116</v>
      </c>
      <c r="D47" s="114">
        <v>1206</v>
      </c>
      <c r="E47" s="39" t="s">
        <v>700</v>
      </c>
      <c r="F47" s="81"/>
      <c r="G47" s="39" t="s">
        <v>213</v>
      </c>
      <c r="H47" s="76"/>
      <c r="I47" s="71">
        <v>16292837</v>
      </c>
      <c r="J47" s="71">
        <v>16292837</v>
      </c>
      <c r="K47" s="88">
        <f t="shared" si="0"/>
        <v>0</v>
      </c>
    </row>
    <row r="48" spans="1:11" hidden="1" x14ac:dyDescent="0.25">
      <c r="A48" s="306">
        <v>43361</v>
      </c>
      <c r="B48" s="309" t="s">
        <v>466</v>
      </c>
      <c r="C48" s="59">
        <v>741</v>
      </c>
      <c r="D48" s="114">
        <v>1386</v>
      </c>
      <c r="E48" s="39" t="s">
        <v>718</v>
      </c>
      <c r="F48" s="81"/>
      <c r="G48" s="39" t="s">
        <v>468</v>
      </c>
      <c r="H48" s="76"/>
      <c r="I48" s="71">
        <v>27600</v>
      </c>
      <c r="J48" s="71">
        <v>27600</v>
      </c>
      <c r="K48" s="88">
        <f t="shared" si="0"/>
        <v>0</v>
      </c>
    </row>
    <row r="49" spans="1:11" hidden="1" x14ac:dyDescent="0.25">
      <c r="A49" s="306">
        <v>43374</v>
      </c>
      <c r="B49" s="309" t="s">
        <v>760</v>
      </c>
      <c r="C49" s="59">
        <v>117</v>
      </c>
      <c r="D49" s="114">
        <v>1507</v>
      </c>
      <c r="E49" s="39" t="s">
        <v>761</v>
      </c>
      <c r="F49" s="81"/>
      <c r="G49" s="39" t="s">
        <v>161</v>
      </c>
      <c r="H49" s="76"/>
      <c r="I49" s="71">
        <v>112600</v>
      </c>
      <c r="J49" s="71">
        <v>112600</v>
      </c>
      <c r="K49" s="88">
        <f t="shared" si="0"/>
        <v>0</v>
      </c>
    </row>
    <row r="50" spans="1:11" x14ac:dyDescent="0.25">
      <c r="A50" s="306">
        <v>43392</v>
      </c>
      <c r="B50" s="309" t="s">
        <v>790</v>
      </c>
      <c r="C50" s="59">
        <v>1319</v>
      </c>
      <c r="D50" s="114">
        <v>1616</v>
      </c>
      <c r="E50" s="39" t="s">
        <v>724</v>
      </c>
      <c r="F50" s="81"/>
      <c r="G50" s="39" t="s">
        <v>226</v>
      </c>
      <c r="H50" s="76"/>
      <c r="I50" s="71">
        <v>262152900</v>
      </c>
      <c r="J50" s="71">
        <v>7368798</v>
      </c>
      <c r="K50" s="88">
        <f t="shared" si="0"/>
        <v>254784102</v>
      </c>
    </row>
    <row r="51" spans="1:11" hidden="1" x14ac:dyDescent="0.25">
      <c r="A51" s="306">
        <v>43392</v>
      </c>
      <c r="B51" s="309" t="s">
        <v>791</v>
      </c>
      <c r="C51" s="59">
        <v>116</v>
      </c>
      <c r="D51" s="114">
        <v>1618</v>
      </c>
      <c r="E51" s="39" t="s">
        <v>792</v>
      </c>
      <c r="F51" s="81"/>
      <c r="G51" s="39" t="s">
        <v>213</v>
      </c>
      <c r="H51" s="76"/>
      <c r="I51" s="71">
        <v>3604318</v>
      </c>
      <c r="J51" s="71">
        <v>3604318</v>
      </c>
      <c r="K51" s="88">
        <f t="shared" si="0"/>
        <v>0</v>
      </c>
    </row>
    <row r="52" spans="1:11" hidden="1" x14ac:dyDescent="0.25">
      <c r="A52" s="306">
        <v>43413</v>
      </c>
      <c r="B52" s="309" t="s">
        <v>828</v>
      </c>
      <c r="C52" s="59">
        <v>117</v>
      </c>
      <c r="D52" s="114">
        <v>1656</v>
      </c>
      <c r="E52" s="39" t="s">
        <v>830</v>
      </c>
      <c r="F52" s="81"/>
      <c r="G52" s="39" t="s">
        <v>161</v>
      </c>
      <c r="H52" s="76"/>
      <c r="I52" s="71">
        <v>118900</v>
      </c>
      <c r="J52" s="71">
        <v>118900</v>
      </c>
      <c r="K52" s="88">
        <f t="shared" si="0"/>
        <v>0</v>
      </c>
    </row>
    <row r="53" spans="1:11" hidden="1" x14ac:dyDescent="0.25">
      <c r="A53" s="306">
        <v>43417</v>
      </c>
      <c r="B53" s="309" t="s">
        <v>829</v>
      </c>
      <c r="C53" s="59">
        <v>118</v>
      </c>
      <c r="D53" s="114">
        <v>1661</v>
      </c>
      <c r="E53" s="39" t="s">
        <v>831</v>
      </c>
      <c r="F53" s="81"/>
      <c r="G53" s="39" t="s">
        <v>303</v>
      </c>
      <c r="H53" s="76"/>
      <c r="I53" s="71">
        <v>1245930</v>
      </c>
      <c r="J53" s="71">
        <v>1245930</v>
      </c>
      <c r="K53" s="88">
        <f t="shared" si="0"/>
        <v>0</v>
      </c>
    </row>
    <row r="54" spans="1:11" hidden="1" x14ac:dyDescent="0.25">
      <c r="A54" s="306">
        <v>43418</v>
      </c>
      <c r="B54" s="309" t="s">
        <v>466</v>
      </c>
      <c r="C54" s="59">
        <v>741</v>
      </c>
      <c r="D54" s="114">
        <v>1662</v>
      </c>
      <c r="E54" s="39" t="s">
        <v>827</v>
      </c>
      <c r="F54" s="81"/>
      <c r="G54" s="39" t="s">
        <v>468</v>
      </c>
      <c r="H54" s="76"/>
      <c r="I54" s="71">
        <v>245400</v>
      </c>
      <c r="J54" s="71">
        <v>245400</v>
      </c>
      <c r="K54" s="88">
        <f t="shared" si="0"/>
        <v>0</v>
      </c>
    </row>
    <row r="55" spans="1:11" x14ac:dyDescent="0.25">
      <c r="A55" s="306"/>
      <c r="B55" s="309"/>
      <c r="C55" s="59"/>
      <c r="D55" s="114"/>
      <c r="E55" s="39"/>
      <c r="F55" s="81"/>
      <c r="G55" s="39"/>
      <c r="H55" s="76"/>
      <c r="I55" s="71"/>
      <c r="J55" s="71"/>
      <c r="K55" s="88"/>
    </row>
    <row r="56" spans="1:11" x14ac:dyDescent="0.25">
      <c r="A56" s="325"/>
      <c r="B56" s="328"/>
      <c r="C56" s="337"/>
      <c r="D56" s="329"/>
      <c r="E56" s="48"/>
      <c r="F56" s="326"/>
      <c r="G56" s="330"/>
      <c r="H56" s="327"/>
      <c r="I56" s="71"/>
      <c r="J56" s="71"/>
      <c r="K56" s="88"/>
    </row>
    <row r="57" spans="1:11" ht="12.75" customHeight="1" x14ac:dyDescent="0.25">
      <c r="A57" s="50"/>
      <c r="B57" s="51"/>
      <c r="C57" s="51"/>
      <c r="D57" s="51"/>
      <c r="E57" s="51"/>
      <c r="F57" s="51"/>
      <c r="G57" s="344" t="s">
        <v>131</v>
      </c>
      <c r="H57" s="345"/>
      <c r="I57" s="73">
        <f>SUM(I19:I56)</f>
        <v>935488759</v>
      </c>
      <c r="J57" s="73">
        <f t="shared" ref="J57" si="1">SUM(J19:J56)</f>
        <v>342876820</v>
      </c>
      <c r="K57" s="73">
        <f>SUM(K19:K56)</f>
        <v>592611939</v>
      </c>
    </row>
    <row r="58" spans="1:11" ht="24.95" customHeight="1" x14ac:dyDescent="0.25">
      <c r="A58" s="51"/>
      <c r="B58" s="51"/>
      <c r="C58" s="51"/>
      <c r="D58" s="51"/>
      <c r="E58" s="51"/>
      <c r="F58" s="51"/>
      <c r="G58" s="51"/>
      <c r="H58" s="51"/>
      <c r="I58" s="153"/>
      <c r="J58" s="155"/>
      <c r="K58" s="155"/>
    </row>
    <row r="59" spans="1:11" ht="24.95" customHeight="1" x14ac:dyDescent="0.25">
      <c r="A59" s="284" t="s">
        <v>58</v>
      </c>
      <c r="B59" s="284" t="s">
        <v>132</v>
      </c>
      <c r="C59" s="284" t="s">
        <v>30</v>
      </c>
      <c r="D59" s="285" t="s">
        <v>59</v>
      </c>
      <c r="E59" s="284" t="s">
        <v>40</v>
      </c>
      <c r="F59" s="284" t="s">
        <v>62</v>
      </c>
      <c r="G59" s="284" t="s">
        <v>37</v>
      </c>
      <c r="H59" s="284" t="s">
        <v>60</v>
      </c>
      <c r="I59" s="284" t="s">
        <v>61</v>
      </c>
      <c r="J59" s="294" t="s">
        <v>98</v>
      </c>
      <c r="K59" s="284" t="s">
        <v>68</v>
      </c>
    </row>
    <row r="60" spans="1:11" x14ac:dyDescent="0.25">
      <c r="A60" s="291">
        <v>1626204000</v>
      </c>
      <c r="B60" s="291"/>
      <c r="C60" s="291">
        <v>0</v>
      </c>
      <c r="D60" s="287">
        <f>+A60+B60-C60</f>
        <v>1626204000</v>
      </c>
      <c r="E60" s="287">
        <f>+I57</f>
        <v>935488759</v>
      </c>
      <c r="F60" s="288">
        <f>+E60/D60</f>
        <v>0.57525916736153648</v>
      </c>
      <c r="G60" s="287">
        <f>+I15</f>
        <v>82972992</v>
      </c>
      <c r="H60" s="287">
        <f>+D60-E60-G60</f>
        <v>607742249</v>
      </c>
      <c r="I60" s="292">
        <f>+J57</f>
        <v>342876820</v>
      </c>
      <c r="J60" s="289">
        <f>+I60/D60</f>
        <v>0.21084490014782895</v>
      </c>
      <c r="K60" s="292">
        <f>+K57</f>
        <v>592611939</v>
      </c>
    </row>
    <row r="61" spans="1:11" x14ac:dyDescent="0.25">
      <c r="A61" s="290">
        <v>1</v>
      </c>
      <c r="B61" s="290">
        <v>2</v>
      </c>
      <c r="C61" s="290">
        <v>3</v>
      </c>
      <c r="D61" s="290" t="s">
        <v>42</v>
      </c>
      <c r="E61" s="290">
        <v>5</v>
      </c>
      <c r="F61" s="290" t="s">
        <v>69</v>
      </c>
      <c r="G61" s="290">
        <v>7</v>
      </c>
      <c r="H61" s="290" t="s">
        <v>70</v>
      </c>
      <c r="I61" s="290">
        <v>9</v>
      </c>
      <c r="J61" s="295" t="s">
        <v>99</v>
      </c>
      <c r="K61" s="290" t="s">
        <v>100</v>
      </c>
    </row>
    <row r="63" spans="1:11" x14ac:dyDescent="0.25">
      <c r="B63" s="211"/>
      <c r="E63" s="211"/>
      <c r="G63" s="211"/>
    </row>
  </sheetData>
  <autoFilter ref="A17:K54" xr:uid="{C7A0EA8F-E97A-4B21-A600-597CAC2F01FB}">
    <filterColumn colId="4" showButton="0"/>
    <filterColumn colId="5" showButton="0"/>
    <filterColumn colId="6" showButton="0"/>
    <filterColumn colId="10">
      <filters>
        <filter val="194.049.197"/>
        <filter val="254.784.102"/>
        <filter val="31.495.916"/>
        <filter val="36.067.718"/>
        <filter val="76.215.006"/>
        <filter val="GIRAR"/>
      </filters>
    </filterColumn>
  </autoFilter>
  <mergeCells count="15">
    <mergeCell ref="G57:H57"/>
    <mergeCell ref="E17:H17"/>
    <mergeCell ref="E18:F18"/>
    <mergeCell ref="G18:H18"/>
    <mergeCell ref="E5:H5"/>
    <mergeCell ref="E6:H6"/>
    <mergeCell ref="G15:H15"/>
    <mergeCell ref="A5:A6"/>
    <mergeCell ref="J17:J18"/>
    <mergeCell ref="I17:I18"/>
    <mergeCell ref="A17:A18"/>
    <mergeCell ref="B5:B6"/>
    <mergeCell ref="D5:D6"/>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zoomScaleNormal="100" workbookViewId="0">
      <selection activeCell="N13" sqref="N13"/>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106</v>
      </c>
      <c r="B3" s="278" t="s">
        <v>48</v>
      </c>
      <c r="C3" s="275"/>
      <c r="D3" s="275"/>
      <c r="E3" s="276"/>
      <c r="F3" s="276"/>
      <c r="G3" s="276"/>
      <c r="H3" s="276"/>
      <c r="I3" s="276"/>
      <c r="J3" s="277"/>
      <c r="K3" s="277" t="s">
        <v>825</v>
      </c>
    </row>
    <row r="4" spans="1:11" ht="12.75" customHeight="1" x14ac:dyDescent="0.25">
      <c r="A4" s="3"/>
      <c r="B4" s="3"/>
      <c r="C4" s="3"/>
      <c r="D4" s="3"/>
      <c r="E4" s="3"/>
      <c r="F4" s="3"/>
      <c r="G4" s="22"/>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78"/>
      <c r="B7" s="132"/>
      <c r="C7" s="265"/>
      <c r="D7" s="114"/>
      <c r="E7" s="39"/>
      <c r="F7" s="84"/>
      <c r="G7" s="74"/>
      <c r="H7" s="61"/>
      <c r="I7" s="299"/>
      <c r="J7" s="77"/>
      <c r="K7" s="76"/>
    </row>
    <row r="8" spans="1:11" ht="15" customHeight="1" x14ac:dyDescent="0.25">
      <c r="A8" s="43">
        <v>43172</v>
      </c>
      <c r="B8" s="39" t="s">
        <v>172</v>
      </c>
      <c r="C8" s="84"/>
      <c r="D8" s="45">
        <v>741</v>
      </c>
      <c r="E8" s="39" t="s">
        <v>342</v>
      </c>
      <c r="F8" s="84"/>
      <c r="G8" s="46"/>
      <c r="H8" s="47"/>
      <c r="I8" s="67">
        <f>4000000-321200-107750-134465</f>
        <v>3436585</v>
      </c>
      <c r="J8" s="77" t="s">
        <v>178</v>
      </c>
      <c r="K8" s="76"/>
    </row>
    <row r="9" spans="1:11" ht="12.75" customHeight="1" x14ac:dyDescent="0.25">
      <c r="A9" s="43"/>
      <c r="B9" s="39"/>
      <c r="C9" s="84"/>
      <c r="D9" s="45"/>
      <c r="E9" s="39"/>
      <c r="F9" s="32"/>
      <c r="G9" s="46"/>
      <c r="H9" s="47"/>
      <c r="I9" s="67"/>
      <c r="J9" s="39"/>
      <c r="K9" s="44"/>
    </row>
    <row r="10" spans="1:11" x14ac:dyDescent="0.25">
      <c r="A10" s="50"/>
      <c r="B10" s="51"/>
      <c r="C10" s="51"/>
      <c r="D10" s="51"/>
      <c r="E10" s="51"/>
      <c r="F10" s="51"/>
      <c r="G10" s="344" t="s">
        <v>131</v>
      </c>
      <c r="H10" s="345"/>
      <c r="I10" s="69">
        <f>SUM(I7:I9)</f>
        <v>3436585</v>
      </c>
      <c r="J10" s="52"/>
      <c r="K10" s="53"/>
    </row>
    <row r="11" spans="1:11" ht="12.75" customHeight="1" x14ac:dyDescent="0.25">
      <c r="A11" s="3"/>
      <c r="B11" s="3"/>
      <c r="C11" s="3"/>
      <c r="D11" s="3"/>
      <c r="E11" s="3"/>
      <c r="F11" s="3"/>
      <c r="G11" s="3"/>
      <c r="H11" s="3"/>
      <c r="I11" s="107"/>
      <c r="J11" s="32"/>
      <c r="K11" s="44"/>
    </row>
    <row r="12" spans="1:11" x14ac:dyDescent="0.25">
      <c r="A12" s="346" t="s">
        <v>28</v>
      </c>
      <c r="B12" s="30" t="s">
        <v>38</v>
      </c>
      <c r="C12" s="55" t="s">
        <v>34</v>
      </c>
      <c r="D12" s="54" t="s">
        <v>34</v>
      </c>
      <c r="E12" s="350" t="s">
        <v>40</v>
      </c>
      <c r="F12" s="351"/>
      <c r="G12" s="351"/>
      <c r="H12" s="352"/>
      <c r="I12" s="346" t="s">
        <v>31</v>
      </c>
      <c r="J12" s="346" t="s">
        <v>29</v>
      </c>
      <c r="K12" s="55" t="s">
        <v>56</v>
      </c>
    </row>
    <row r="13" spans="1:11" x14ac:dyDescent="0.25">
      <c r="A13" s="347"/>
      <c r="B13" s="56" t="s">
        <v>39</v>
      </c>
      <c r="C13" s="56" t="s">
        <v>36</v>
      </c>
      <c r="D13" s="56" t="s">
        <v>35</v>
      </c>
      <c r="E13" s="350" t="s">
        <v>33</v>
      </c>
      <c r="F13" s="352"/>
      <c r="G13" s="350" t="s">
        <v>32</v>
      </c>
      <c r="H13" s="352"/>
      <c r="I13" s="347"/>
      <c r="J13" s="347"/>
      <c r="K13" s="56" t="s">
        <v>57</v>
      </c>
    </row>
    <row r="14" spans="1:11" ht="12.75" customHeight="1" x14ac:dyDescent="0.25">
      <c r="A14" s="36"/>
      <c r="B14" s="36"/>
      <c r="C14" s="36"/>
      <c r="D14" s="36"/>
      <c r="E14" s="39"/>
      <c r="F14" s="44"/>
      <c r="G14" s="39"/>
      <c r="H14" s="44"/>
      <c r="I14" s="57"/>
      <c r="J14" s="57"/>
      <c r="K14" s="57"/>
    </row>
    <row r="15" spans="1:11" ht="12.75" hidden="1" customHeight="1" x14ac:dyDescent="0.25">
      <c r="A15" s="78">
        <v>43126</v>
      </c>
      <c r="B15" s="36" t="s">
        <v>182</v>
      </c>
      <c r="C15" s="117">
        <v>611</v>
      </c>
      <c r="D15" s="117">
        <v>575</v>
      </c>
      <c r="E15" s="39" t="s">
        <v>186</v>
      </c>
      <c r="F15" s="32"/>
      <c r="G15" s="39" t="s">
        <v>214</v>
      </c>
      <c r="H15" s="44"/>
      <c r="I15" s="300">
        <v>2931998</v>
      </c>
      <c r="J15" s="312">
        <v>2931998</v>
      </c>
      <c r="K15" s="70">
        <f t="shared" ref="K15:K24" si="0">+I15-J15</f>
        <v>0</v>
      </c>
    </row>
    <row r="16" spans="1:11" ht="12.75" hidden="1" customHeight="1" x14ac:dyDescent="0.25">
      <c r="A16" s="78">
        <v>43126</v>
      </c>
      <c r="B16" s="36" t="s">
        <v>183</v>
      </c>
      <c r="C16" s="117">
        <v>553</v>
      </c>
      <c r="D16" s="117">
        <v>586</v>
      </c>
      <c r="E16" s="39" t="s">
        <v>187</v>
      </c>
      <c r="F16" s="32"/>
      <c r="G16" s="39" t="s">
        <v>215</v>
      </c>
      <c r="H16" s="44"/>
      <c r="I16" s="300">
        <v>2370000</v>
      </c>
      <c r="J16" s="312">
        <v>2370000</v>
      </c>
      <c r="K16" s="70">
        <f t="shared" si="0"/>
        <v>0</v>
      </c>
    </row>
    <row r="17" spans="1:11" hidden="1" x14ac:dyDescent="0.25">
      <c r="A17" s="78">
        <v>43126</v>
      </c>
      <c r="B17" s="79" t="s">
        <v>184</v>
      </c>
      <c r="C17" s="236">
        <v>610</v>
      </c>
      <c r="D17" s="236">
        <v>611</v>
      </c>
      <c r="E17" s="87" t="s">
        <v>188</v>
      </c>
      <c r="F17" s="81"/>
      <c r="G17" s="77" t="s">
        <v>216</v>
      </c>
      <c r="H17" s="76"/>
      <c r="I17" s="301">
        <v>1575000</v>
      </c>
      <c r="J17" s="314">
        <v>1575000</v>
      </c>
      <c r="K17" s="70">
        <f t="shared" si="0"/>
        <v>0</v>
      </c>
    </row>
    <row r="18" spans="1:11" hidden="1" x14ac:dyDescent="0.25">
      <c r="A18" s="78">
        <v>43126</v>
      </c>
      <c r="B18" s="79" t="s">
        <v>185</v>
      </c>
      <c r="C18" s="236">
        <v>608</v>
      </c>
      <c r="D18" s="236">
        <v>629</v>
      </c>
      <c r="E18" s="87" t="s">
        <v>189</v>
      </c>
      <c r="F18" s="81"/>
      <c r="G18" s="77" t="s">
        <v>217</v>
      </c>
      <c r="H18" s="76"/>
      <c r="I18" s="301">
        <v>850000</v>
      </c>
      <c r="J18" s="314">
        <v>850000</v>
      </c>
      <c r="K18" s="70">
        <f t="shared" si="0"/>
        <v>0</v>
      </c>
    </row>
    <row r="19" spans="1:11" hidden="1" x14ac:dyDescent="0.25">
      <c r="A19" s="78">
        <v>43307</v>
      </c>
      <c r="B19" s="79" t="s">
        <v>466</v>
      </c>
      <c r="C19" s="236">
        <v>741</v>
      </c>
      <c r="D19" s="236">
        <v>941</v>
      </c>
      <c r="E19" s="87" t="s">
        <v>569</v>
      </c>
      <c r="F19" s="81"/>
      <c r="G19" s="77" t="s">
        <v>468</v>
      </c>
      <c r="H19" s="76"/>
      <c r="I19" s="301">
        <v>321200</v>
      </c>
      <c r="J19" s="314">
        <v>321200</v>
      </c>
      <c r="K19" s="70">
        <f t="shared" si="0"/>
        <v>0</v>
      </c>
    </row>
    <row r="20" spans="1:11" hidden="1" x14ac:dyDescent="0.25">
      <c r="A20" s="78">
        <v>43327</v>
      </c>
      <c r="B20" s="79" t="s">
        <v>630</v>
      </c>
      <c r="C20" s="80">
        <v>866</v>
      </c>
      <c r="D20" s="80">
        <v>998</v>
      </c>
      <c r="E20" s="87" t="s">
        <v>631</v>
      </c>
      <c r="F20" s="81"/>
      <c r="G20" s="77" t="s">
        <v>632</v>
      </c>
      <c r="H20" s="76"/>
      <c r="I20" s="67">
        <v>5000000</v>
      </c>
      <c r="J20" s="67">
        <v>5000000</v>
      </c>
      <c r="K20" s="70">
        <f t="shared" si="0"/>
        <v>0</v>
      </c>
    </row>
    <row r="21" spans="1:11" x14ac:dyDescent="0.25">
      <c r="A21" s="78">
        <v>43376</v>
      </c>
      <c r="B21" s="79" t="s">
        <v>630</v>
      </c>
      <c r="C21" s="80">
        <v>1185</v>
      </c>
      <c r="D21" s="80">
        <v>1530</v>
      </c>
      <c r="E21" s="87" t="s">
        <v>762</v>
      </c>
      <c r="F21" s="81"/>
      <c r="G21" s="77" t="s">
        <v>632</v>
      </c>
      <c r="H21" s="76"/>
      <c r="I21" s="67">
        <v>5000000</v>
      </c>
      <c r="J21" s="67">
        <v>4973594</v>
      </c>
      <c r="K21" s="70">
        <f t="shared" si="0"/>
        <v>26406</v>
      </c>
    </row>
    <row r="22" spans="1:11" x14ac:dyDescent="0.25">
      <c r="A22" s="78">
        <v>43389</v>
      </c>
      <c r="B22" s="79" t="s">
        <v>787</v>
      </c>
      <c r="C22" s="80">
        <v>1325</v>
      </c>
      <c r="D22" s="80">
        <v>1602</v>
      </c>
      <c r="E22" s="87" t="s">
        <v>788</v>
      </c>
      <c r="F22" s="81"/>
      <c r="G22" s="77" t="s">
        <v>789</v>
      </c>
      <c r="H22" s="76"/>
      <c r="I22" s="67">
        <v>15000000</v>
      </c>
      <c r="J22" s="67">
        <v>0</v>
      </c>
      <c r="K22" s="70">
        <f t="shared" si="0"/>
        <v>15000000</v>
      </c>
    </row>
    <row r="23" spans="1:11" hidden="1" x14ac:dyDescent="0.25">
      <c r="A23" s="78">
        <v>43395</v>
      </c>
      <c r="B23" s="79" t="s">
        <v>466</v>
      </c>
      <c r="C23" s="80">
        <v>741</v>
      </c>
      <c r="D23" s="80">
        <v>1626</v>
      </c>
      <c r="E23" s="87" t="s">
        <v>785</v>
      </c>
      <c r="F23" s="81"/>
      <c r="G23" s="77" t="s">
        <v>468</v>
      </c>
      <c r="H23" s="76"/>
      <c r="I23" s="67">
        <v>107750</v>
      </c>
      <c r="J23" s="67">
        <v>107750</v>
      </c>
      <c r="K23" s="70">
        <f t="shared" si="0"/>
        <v>0</v>
      </c>
    </row>
    <row r="24" spans="1:11" hidden="1" x14ac:dyDescent="0.25">
      <c r="A24" s="78">
        <v>43418</v>
      </c>
      <c r="B24" s="79" t="s">
        <v>466</v>
      </c>
      <c r="C24" s="80">
        <v>741</v>
      </c>
      <c r="D24" s="80">
        <v>1662</v>
      </c>
      <c r="E24" s="87" t="s">
        <v>827</v>
      </c>
      <c r="F24" s="81"/>
      <c r="G24" s="77" t="s">
        <v>468</v>
      </c>
      <c r="H24" s="76"/>
      <c r="I24" s="67">
        <v>134465</v>
      </c>
      <c r="J24" s="67">
        <v>134465</v>
      </c>
      <c r="K24" s="70">
        <f t="shared" si="0"/>
        <v>0</v>
      </c>
    </row>
    <row r="25" spans="1:11" x14ac:dyDescent="0.25">
      <c r="A25" s="78"/>
      <c r="B25" s="79"/>
      <c r="C25" s="80"/>
      <c r="D25" s="80"/>
      <c r="E25" s="87"/>
      <c r="F25" s="81"/>
      <c r="G25" s="77"/>
      <c r="H25" s="76"/>
      <c r="I25" s="67"/>
      <c r="J25" s="67"/>
      <c r="K25" s="70"/>
    </row>
    <row r="26" spans="1:11" ht="12.75" customHeight="1" x14ac:dyDescent="0.25">
      <c r="A26" s="43"/>
      <c r="B26" s="58"/>
      <c r="C26" s="59"/>
      <c r="D26" s="59"/>
      <c r="E26" s="60"/>
      <c r="F26" s="61"/>
      <c r="G26" s="60"/>
      <c r="H26" s="61"/>
      <c r="I26" s="70"/>
      <c r="J26" s="70"/>
      <c r="K26" s="70"/>
    </row>
    <row r="27" spans="1:11" x14ac:dyDescent="0.25">
      <c r="A27" s="50"/>
      <c r="B27" s="51"/>
      <c r="C27" s="51"/>
      <c r="D27" s="51"/>
      <c r="E27" s="51"/>
      <c r="F27" s="51"/>
      <c r="G27" s="344" t="s">
        <v>131</v>
      </c>
      <c r="H27" s="345"/>
      <c r="I27" s="73">
        <f>SUM(I15:I26)</f>
        <v>33290413</v>
      </c>
      <c r="J27" s="73">
        <f t="shared" ref="J27" si="1">SUM(J15:J26)</f>
        <v>18264007</v>
      </c>
      <c r="K27" s="73">
        <f>SUM(K15:K26)</f>
        <v>15026406</v>
      </c>
    </row>
    <row r="28" spans="1:11" ht="12.75" customHeight="1" x14ac:dyDescent="0.25">
      <c r="A28" s="3"/>
      <c r="B28" s="3"/>
      <c r="C28" s="3"/>
      <c r="D28" s="3"/>
      <c r="E28" s="3"/>
      <c r="F28" s="3"/>
      <c r="G28" s="3"/>
      <c r="H28" s="3"/>
      <c r="I28" s="22"/>
      <c r="J28" s="82"/>
      <c r="K28" s="51"/>
    </row>
    <row r="29" spans="1:11" ht="24.95" customHeight="1" x14ac:dyDescent="0.25">
      <c r="A29" s="284" t="s">
        <v>58</v>
      </c>
      <c r="B29" s="284" t="s">
        <v>132</v>
      </c>
      <c r="C29" s="284" t="s">
        <v>30</v>
      </c>
      <c r="D29" s="285" t="s">
        <v>59</v>
      </c>
      <c r="E29" s="284" t="s">
        <v>40</v>
      </c>
      <c r="F29" s="284" t="s">
        <v>62</v>
      </c>
      <c r="G29" s="284" t="s">
        <v>37</v>
      </c>
      <c r="H29" s="284" t="s">
        <v>60</v>
      </c>
      <c r="I29" s="284" t="s">
        <v>61</v>
      </c>
      <c r="J29" s="284" t="s">
        <v>98</v>
      </c>
      <c r="K29" s="284" t="s">
        <v>68</v>
      </c>
    </row>
    <row r="30" spans="1:11" ht="24.95" customHeight="1" x14ac:dyDescent="0.25">
      <c r="A30" s="291">
        <v>84000000</v>
      </c>
      <c r="B30" s="291"/>
      <c r="C30" s="291">
        <v>0</v>
      </c>
      <c r="D30" s="287">
        <f>+A30+B30-C30</f>
        <v>84000000</v>
      </c>
      <c r="E30" s="287">
        <f>+I27</f>
        <v>33290413</v>
      </c>
      <c r="F30" s="288">
        <f>+E30/D30</f>
        <v>0.39631444047619047</v>
      </c>
      <c r="G30" s="287">
        <f>+I10</f>
        <v>3436585</v>
      </c>
      <c r="H30" s="287">
        <f>+D30-E30-G30</f>
        <v>47273002</v>
      </c>
      <c r="I30" s="287">
        <f>+J27</f>
        <v>18264007</v>
      </c>
      <c r="J30" s="293">
        <f>+I30/D30</f>
        <v>0.21742865476190476</v>
      </c>
      <c r="K30" s="287">
        <f>+K27</f>
        <v>15026406</v>
      </c>
    </row>
    <row r="31" spans="1:11" x14ac:dyDescent="0.25">
      <c r="A31" s="290">
        <v>1</v>
      </c>
      <c r="B31" s="290">
        <v>2</v>
      </c>
      <c r="C31" s="290">
        <v>3</v>
      </c>
      <c r="D31" s="290" t="s">
        <v>42</v>
      </c>
      <c r="E31" s="290">
        <v>5</v>
      </c>
      <c r="F31" s="290" t="s">
        <v>69</v>
      </c>
      <c r="G31" s="290">
        <v>7</v>
      </c>
      <c r="H31" s="290" t="s">
        <v>70</v>
      </c>
      <c r="I31" s="290">
        <v>9</v>
      </c>
      <c r="J31" s="290" t="s">
        <v>99</v>
      </c>
      <c r="K31" s="290" t="s">
        <v>100</v>
      </c>
    </row>
  </sheetData>
  <mergeCells count="15">
    <mergeCell ref="J12:J13"/>
    <mergeCell ref="I12:I13"/>
    <mergeCell ref="A12:A13"/>
    <mergeCell ref="B5:B6"/>
    <mergeCell ref="D5:D6"/>
    <mergeCell ref="I5:I6"/>
    <mergeCell ref="J5:K6"/>
    <mergeCell ref="A5:A6"/>
    <mergeCell ref="G27:H27"/>
    <mergeCell ref="E12:H12"/>
    <mergeCell ref="E13:F13"/>
    <mergeCell ref="G13:H13"/>
    <mergeCell ref="E5:H5"/>
    <mergeCell ref="E6:H6"/>
    <mergeCell ref="G10:H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K43"/>
  <sheetViews>
    <sheetView workbookViewId="0">
      <selection activeCell="A16" sqref="A16:K17"/>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97</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275" t="s">
        <v>107</v>
      </c>
      <c r="B3" s="278" t="s">
        <v>49</v>
      </c>
      <c r="C3" s="275"/>
      <c r="D3" s="275"/>
      <c r="E3" s="276"/>
      <c r="F3" s="276"/>
      <c r="G3" s="276"/>
      <c r="H3" s="276"/>
      <c r="I3" s="276"/>
      <c r="J3" s="277"/>
      <c r="K3" s="277" t="s">
        <v>825</v>
      </c>
    </row>
    <row r="4" spans="1:11" ht="12.75" customHeight="1" x14ac:dyDescent="0.25">
      <c r="A4" s="3"/>
      <c r="B4" s="3"/>
      <c r="C4" s="3"/>
      <c r="D4" s="3"/>
      <c r="E4" s="3"/>
      <c r="F4" s="3"/>
      <c r="G4" s="3"/>
      <c r="H4" s="3"/>
      <c r="I4" s="3"/>
      <c r="J4" s="32"/>
      <c r="K4" s="33"/>
    </row>
    <row r="5" spans="1:11" x14ac:dyDescent="0.25">
      <c r="A5" s="346" t="s">
        <v>28</v>
      </c>
      <c r="B5" s="348" t="s">
        <v>130</v>
      </c>
      <c r="C5" s="34"/>
      <c r="D5" s="346" t="s">
        <v>71</v>
      </c>
      <c r="E5" s="350" t="s">
        <v>37</v>
      </c>
      <c r="F5" s="351"/>
      <c r="G5" s="351"/>
      <c r="H5" s="352"/>
      <c r="I5" s="346" t="s">
        <v>31</v>
      </c>
      <c r="J5" s="353" t="s">
        <v>41</v>
      </c>
      <c r="K5" s="354"/>
    </row>
    <row r="6" spans="1:11" x14ac:dyDescent="0.25">
      <c r="A6" s="347"/>
      <c r="B6" s="357"/>
      <c r="C6" s="35"/>
      <c r="D6" s="347"/>
      <c r="E6" s="350" t="s">
        <v>33</v>
      </c>
      <c r="F6" s="351"/>
      <c r="G6" s="351"/>
      <c r="H6" s="352"/>
      <c r="I6" s="347"/>
      <c r="J6" s="355"/>
      <c r="K6" s="356"/>
    </row>
    <row r="7" spans="1:11" x14ac:dyDescent="0.25">
      <c r="A7" s="100"/>
      <c r="B7" s="229"/>
      <c r="C7" s="127"/>
      <c r="D7" s="124"/>
      <c r="E7" s="230"/>
      <c r="F7" s="101"/>
      <c r="G7" s="101"/>
      <c r="H7" s="102"/>
      <c r="I7" s="127"/>
      <c r="J7" s="124"/>
      <c r="K7" s="103"/>
    </row>
    <row r="8" spans="1:11" x14ac:dyDescent="0.25">
      <c r="A8" s="302">
        <v>43123</v>
      </c>
      <c r="B8" s="132" t="s">
        <v>172</v>
      </c>
      <c r="C8" s="127"/>
      <c r="D8" s="114">
        <v>476</v>
      </c>
      <c r="E8" s="60" t="s">
        <v>684</v>
      </c>
      <c r="F8" s="101"/>
      <c r="G8" s="101"/>
      <c r="H8" s="102"/>
      <c r="I8" s="266">
        <v>902120</v>
      </c>
      <c r="J8" s="341" t="s">
        <v>178</v>
      </c>
      <c r="K8" s="103"/>
    </row>
    <row r="9" spans="1:11" x14ac:dyDescent="0.25">
      <c r="A9" s="302">
        <v>43172</v>
      </c>
      <c r="B9" s="132" t="s">
        <v>172</v>
      </c>
      <c r="C9" s="127"/>
      <c r="D9" s="114">
        <v>741</v>
      </c>
      <c r="E9" s="39" t="s">
        <v>342</v>
      </c>
      <c r="F9" s="101"/>
      <c r="G9" s="101"/>
      <c r="H9" s="102"/>
      <c r="I9" s="266">
        <f>7000000-120000</f>
        <v>6880000</v>
      </c>
      <c r="J9" s="132" t="s">
        <v>178</v>
      </c>
      <c r="K9" s="103"/>
    </row>
    <row r="10" spans="1:11" x14ac:dyDescent="0.25">
      <c r="A10" s="302">
        <v>43276</v>
      </c>
      <c r="B10" s="132" t="s">
        <v>172</v>
      </c>
      <c r="C10" s="127"/>
      <c r="D10" s="114">
        <v>824</v>
      </c>
      <c r="E10" s="39" t="s">
        <v>524</v>
      </c>
      <c r="F10" s="101"/>
      <c r="G10" s="101"/>
      <c r="H10" s="102"/>
      <c r="I10" s="266">
        <f>5490674-4706292</f>
        <v>784382</v>
      </c>
      <c r="J10" s="132" t="s">
        <v>178</v>
      </c>
      <c r="K10" s="103"/>
    </row>
    <row r="11" spans="1:11" x14ac:dyDescent="0.25">
      <c r="A11" s="302">
        <v>43346</v>
      </c>
      <c r="B11" s="132" t="s">
        <v>172</v>
      </c>
      <c r="C11" s="127"/>
      <c r="D11" s="114">
        <v>932</v>
      </c>
      <c r="E11" s="39" t="s">
        <v>701</v>
      </c>
      <c r="F11" s="101"/>
      <c r="G11" s="101"/>
      <c r="H11" s="102"/>
      <c r="I11" s="266">
        <v>2217400</v>
      </c>
      <c r="J11" s="132" t="s">
        <v>178</v>
      </c>
      <c r="K11" s="103"/>
    </row>
    <row r="12" spans="1:11" x14ac:dyDescent="0.25">
      <c r="A12" s="302">
        <v>43368</v>
      </c>
      <c r="B12" s="132" t="s">
        <v>172</v>
      </c>
      <c r="C12" s="127"/>
      <c r="D12" s="114">
        <v>1358</v>
      </c>
      <c r="E12" s="39" t="s">
        <v>745</v>
      </c>
      <c r="F12" s="101"/>
      <c r="G12" s="101"/>
      <c r="H12" s="102"/>
      <c r="I12" s="266">
        <f>57408218-57000000</f>
        <v>408218</v>
      </c>
      <c r="J12" s="132" t="s">
        <v>178</v>
      </c>
      <c r="K12" s="103"/>
    </row>
    <row r="13" spans="1:11" ht="12.75" customHeight="1" x14ac:dyDescent="0.25">
      <c r="A13" s="78"/>
      <c r="B13" s="111"/>
      <c r="C13" s="112"/>
      <c r="D13" s="205"/>
      <c r="E13" s="206"/>
      <c r="F13" s="81"/>
      <c r="G13" s="110"/>
      <c r="H13" s="63"/>
      <c r="I13" s="113"/>
      <c r="J13" s="39"/>
      <c r="K13" s="44"/>
    </row>
    <row r="14" spans="1:11" x14ac:dyDescent="0.25">
      <c r="A14" s="50"/>
      <c r="B14" s="51"/>
      <c r="C14" s="51"/>
      <c r="D14" s="51"/>
      <c r="E14" s="51"/>
      <c r="F14" s="51"/>
      <c r="G14" s="344" t="s">
        <v>131</v>
      </c>
      <c r="H14" s="345"/>
      <c r="I14" s="69">
        <f>SUM(I8:I13)</f>
        <v>11192120</v>
      </c>
      <c r="J14" s="52"/>
      <c r="K14" s="53"/>
    </row>
    <row r="15" spans="1:11" ht="12.75" customHeight="1" x14ac:dyDescent="0.25">
      <c r="A15" s="3"/>
      <c r="B15" s="3"/>
      <c r="C15" s="3"/>
      <c r="D15" s="3"/>
      <c r="E15" s="3"/>
      <c r="F15" s="3"/>
      <c r="G15" s="3"/>
      <c r="H15" s="3"/>
      <c r="I15" s="86"/>
      <c r="J15" s="32"/>
      <c r="K15" s="44"/>
    </row>
    <row r="16" spans="1:11" x14ac:dyDescent="0.25">
      <c r="A16" s="55" t="s">
        <v>28</v>
      </c>
      <c r="B16" s="30" t="s">
        <v>38</v>
      </c>
      <c r="C16" s="55" t="s">
        <v>34</v>
      </c>
      <c r="D16" s="54" t="s">
        <v>34</v>
      </c>
      <c r="E16" s="350" t="s">
        <v>40</v>
      </c>
      <c r="F16" s="351"/>
      <c r="G16" s="351"/>
      <c r="H16" s="352"/>
      <c r="I16" s="346" t="s">
        <v>31</v>
      </c>
      <c r="J16" s="346" t="s">
        <v>29</v>
      </c>
      <c r="K16" s="55" t="s">
        <v>56</v>
      </c>
    </row>
    <row r="17" spans="1:11" x14ac:dyDescent="0.25">
      <c r="A17" s="56"/>
      <c r="B17" s="56" t="s">
        <v>39</v>
      </c>
      <c r="C17" s="56" t="s">
        <v>36</v>
      </c>
      <c r="D17" s="56" t="s">
        <v>35</v>
      </c>
      <c r="E17" s="350" t="s">
        <v>33</v>
      </c>
      <c r="F17" s="352"/>
      <c r="G17" s="350" t="s">
        <v>32</v>
      </c>
      <c r="H17" s="352"/>
      <c r="I17" s="347"/>
      <c r="J17" s="347"/>
      <c r="K17" s="56" t="s">
        <v>57</v>
      </c>
    </row>
    <row r="18" spans="1:11" ht="15" hidden="1" customHeight="1" x14ac:dyDescent="0.25">
      <c r="A18" s="78"/>
      <c r="B18" s="79"/>
      <c r="C18" s="80"/>
      <c r="D18" s="80"/>
      <c r="E18" s="39"/>
      <c r="F18" s="76"/>
      <c r="G18" s="77"/>
      <c r="H18" s="76"/>
      <c r="I18" s="67"/>
      <c r="J18" s="67"/>
      <c r="K18" s="70">
        <f t="shared" ref="K18:K33" si="0">+I18-J18</f>
        <v>0</v>
      </c>
    </row>
    <row r="19" spans="1:11" ht="15" hidden="1" customHeight="1" x14ac:dyDescent="0.25">
      <c r="A19" s="78">
        <v>43119</v>
      </c>
      <c r="B19" s="80" t="s">
        <v>190</v>
      </c>
      <c r="C19" s="80">
        <v>337</v>
      </c>
      <c r="D19" s="80">
        <v>337</v>
      </c>
      <c r="E19" s="39" t="s">
        <v>218</v>
      </c>
      <c r="F19" s="76"/>
      <c r="G19" s="77" t="s">
        <v>220</v>
      </c>
      <c r="H19" s="76"/>
      <c r="I19" s="67">
        <v>236778601</v>
      </c>
      <c r="J19" s="67">
        <v>236778601</v>
      </c>
      <c r="K19" s="70">
        <f t="shared" si="0"/>
        <v>0</v>
      </c>
    </row>
    <row r="20" spans="1:11" ht="15" hidden="1" customHeight="1" x14ac:dyDescent="0.25">
      <c r="A20" s="250">
        <v>43123</v>
      </c>
      <c r="B20" s="141" t="s">
        <v>191</v>
      </c>
      <c r="C20" s="141">
        <v>476</v>
      </c>
      <c r="D20" s="141">
        <v>458</v>
      </c>
      <c r="E20" s="39" t="s">
        <v>219</v>
      </c>
      <c r="F20" s="251"/>
      <c r="G20" s="77" t="s">
        <v>221</v>
      </c>
      <c r="H20" s="251"/>
      <c r="I20" s="215">
        <f>63000000-902120</f>
        <v>62097880</v>
      </c>
      <c r="J20" s="215">
        <v>62097880</v>
      </c>
      <c r="K20" s="70">
        <f t="shared" si="0"/>
        <v>0</v>
      </c>
    </row>
    <row r="21" spans="1:11" ht="15" hidden="1" customHeight="1" x14ac:dyDescent="0.25">
      <c r="A21" s="250">
        <v>43145</v>
      </c>
      <c r="B21" s="316" t="s">
        <v>261</v>
      </c>
      <c r="C21" s="141">
        <v>712</v>
      </c>
      <c r="D21" s="141">
        <v>695</v>
      </c>
      <c r="E21" s="39" t="s">
        <v>246</v>
      </c>
      <c r="F21" s="251"/>
      <c r="G21" s="77" t="s">
        <v>262</v>
      </c>
      <c r="H21" s="251"/>
      <c r="I21" s="215">
        <f>94055108-29249</f>
        <v>94025859</v>
      </c>
      <c r="J21" s="215">
        <v>94025859</v>
      </c>
      <c r="K21" s="70">
        <f t="shared" si="0"/>
        <v>0</v>
      </c>
    </row>
    <row r="22" spans="1:11" ht="15" customHeight="1" x14ac:dyDescent="0.25">
      <c r="A22" s="250">
        <v>43186</v>
      </c>
      <c r="B22" s="316" t="s">
        <v>372</v>
      </c>
      <c r="C22" s="141">
        <v>740</v>
      </c>
      <c r="D22" s="141">
        <v>672</v>
      </c>
      <c r="E22" s="39" t="s">
        <v>373</v>
      </c>
      <c r="F22" s="251"/>
      <c r="G22" s="77" t="s">
        <v>374</v>
      </c>
      <c r="H22" s="251"/>
      <c r="I22" s="215">
        <v>475366506</v>
      </c>
      <c r="J22" s="215">
        <v>355758330</v>
      </c>
      <c r="K22" s="70">
        <f t="shared" si="0"/>
        <v>119608176</v>
      </c>
    </row>
    <row r="23" spans="1:11" ht="15" hidden="1" customHeight="1" x14ac:dyDescent="0.25">
      <c r="A23" s="250">
        <v>43186</v>
      </c>
      <c r="B23" s="316" t="s">
        <v>377</v>
      </c>
      <c r="C23" s="141">
        <v>753</v>
      </c>
      <c r="D23" s="141">
        <v>774</v>
      </c>
      <c r="E23" s="39" t="s">
        <v>378</v>
      </c>
      <c r="F23" s="251"/>
      <c r="G23" s="77" t="s">
        <v>379</v>
      </c>
      <c r="H23" s="251"/>
      <c r="I23" s="215">
        <f>93212581-252197</f>
        <v>92960384</v>
      </c>
      <c r="J23" s="215">
        <v>92960384</v>
      </c>
      <c r="K23" s="70">
        <f t="shared" si="0"/>
        <v>0</v>
      </c>
    </row>
    <row r="24" spans="1:11" ht="15" hidden="1" customHeight="1" x14ac:dyDescent="0.25">
      <c r="A24" s="250">
        <v>43215</v>
      </c>
      <c r="B24" s="316" t="s">
        <v>421</v>
      </c>
      <c r="C24" s="141">
        <v>770</v>
      </c>
      <c r="D24" s="141">
        <v>805</v>
      </c>
      <c r="E24" s="39" t="s">
        <v>422</v>
      </c>
      <c r="F24" s="251"/>
      <c r="G24" s="77" t="s">
        <v>423</v>
      </c>
      <c r="H24" s="251"/>
      <c r="I24" s="215">
        <v>3473015</v>
      </c>
      <c r="J24" s="215">
        <v>3473015</v>
      </c>
      <c r="K24" s="70">
        <f t="shared" si="0"/>
        <v>0</v>
      </c>
    </row>
    <row r="25" spans="1:11" ht="15" customHeight="1" x14ac:dyDescent="0.25">
      <c r="A25" s="250">
        <v>43217</v>
      </c>
      <c r="B25" s="316" t="s">
        <v>440</v>
      </c>
      <c r="C25" s="141">
        <v>731</v>
      </c>
      <c r="D25" s="141">
        <v>809</v>
      </c>
      <c r="E25" s="39" t="s">
        <v>322</v>
      </c>
      <c r="F25" s="251"/>
      <c r="G25" s="77" t="s">
        <v>439</v>
      </c>
      <c r="H25" s="251"/>
      <c r="I25" s="215">
        <v>144000000</v>
      </c>
      <c r="J25" s="215">
        <v>33844235</v>
      </c>
      <c r="K25" s="70">
        <f t="shared" si="0"/>
        <v>110155765</v>
      </c>
    </row>
    <row r="26" spans="1:11" ht="15" customHeight="1" x14ac:dyDescent="0.25">
      <c r="A26" s="250">
        <v>43220</v>
      </c>
      <c r="B26" s="316" t="s">
        <v>433</v>
      </c>
      <c r="C26" s="141">
        <v>742</v>
      </c>
      <c r="D26" s="141">
        <v>810</v>
      </c>
      <c r="E26" s="39" t="s">
        <v>347</v>
      </c>
      <c r="F26" s="251"/>
      <c r="G26" s="77" t="s">
        <v>434</v>
      </c>
      <c r="H26" s="251"/>
      <c r="I26" s="215">
        <v>966440228</v>
      </c>
      <c r="J26" s="215">
        <v>585027936</v>
      </c>
      <c r="K26" s="70">
        <f t="shared" si="0"/>
        <v>381412292</v>
      </c>
    </row>
    <row r="27" spans="1:11" ht="15" customHeight="1" x14ac:dyDescent="0.25">
      <c r="A27" s="250">
        <v>43227</v>
      </c>
      <c r="B27" s="316" t="s">
        <v>443</v>
      </c>
      <c r="C27" s="141">
        <v>751</v>
      </c>
      <c r="D27" s="141">
        <v>817</v>
      </c>
      <c r="E27" s="39" t="s">
        <v>362</v>
      </c>
      <c r="F27" s="251"/>
      <c r="G27" s="77" t="s">
        <v>444</v>
      </c>
      <c r="H27" s="251"/>
      <c r="I27" s="215">
        <v>400000000</v>
      </c>
      <c r="J27" s="319">
        <v>252630614</v>
      </c>
      <c r="K27" s="70">
        <f t="shared" si="0"/>
        <v>147369386</v>
      </c>
    </row>
    <row r="28" spans="1:11" ht="15" hidden="1" customHeight="1" x14ac:dyDescent="0.25">
      <c r="A28" s="250">
        <v>43241</v>
      </c>
      <c r="B28" s="316" t="s">
        <v>466</v>
      </c>
      <c r="C28" s="141">
        <v>741</v>
      </c>
      <c r="D28" s="141">
        <v>836</v>
      </c>
      <c r="E28" s="39" t="s">
        <v>467</v>
      </c>
      <c r="F28" s="251"/>
      <c r="G28" s="77" t="s">
        <v>468</v>
      </c>
      <c r="H28" s="251"/>
      <c r="I28" s="215">
        <v>120000</v>
      </c>
      <c r="J28" s="215">
        <v>120000</v>
      </c>
      <c r="K28" s="70">
        <f t="shared" si="0"/>
        <v>0</v>
      </c>
    </row>
    <row r="29" spans="1:11" ht="15" customHeight="1" x14ac:dyDescent="0.25">
      <c r="A29" s="250">
        <v>43300</v>
      </c>
      <c r="B29" s="316" t="s">
        <v>559</v>
      </c>
      <c r="C29" s="141">
        <v>824</v>
      </c>
      <c r="D29" s="141">
        <v>929</v>
      </c>
      <c r="E29" s="39" t="s">
        <v>524</v>
      </c>
      <c r="F29" s="251"/>
      <c r="G29" s="77" t="s">
        <v>561</v>
      </c>
      <c r="H29" s="251"/>
      <c r="I29" s="215">
        <v>4706292</v>
      </c>
      <c r="J29" s="215">
        <v>2353146</v>
      </c>
      <c r="K29" s="70">
        <f t="shared" si="0"/>
        <v>2353146</v>
      </c>
    </row>
    <row r="30" spans="1:11" ht="15" customHeight="1" x14ac:dyDescent="0.25">
      <c r="A30" s="250">
        <v>43305</v>
      </c>
      <c r="B30" s="316" t="s">
        <v>560</v>
      </c>
      <c r="C30" s="141">
        <v>807</v>
      </c>
      <c r="D30" s="141">
        <v>938</v>
      </c>
      <c r="E30" s="39" t="s">
        <v>488</v>
      </c>
      <c r="F30" s="251"/>
      <c r="G30" s="77" t="s">
        <v>562</v>
      </c>
      <c r="H30" s="251"/>
      <c r="I30" s="215">
        <v>17000000</v>
      </c>
      <c r="J30" s="215">
        <v>7959350</v>
      </c>
      <c r="K30" s="70">
        <f t="shared" si="0"/>
        <v>9040650</v>
      </c>
    </row>
    <row r="31" spans="1:11" ht="15" customHeight="1" x14ac:dyDescent="0.25">
      <c r="A31" s="250">
        <v>43381</v>
      </c>
      <c r="B31" s="316" t="s">
        <v>763</v>
      </c>
      <c r="C31" s="141">
        <v>1314</v>
      </c>
      <c r="D31" s="141">
        <v>1546</v>
      </c>
      <c r="E31" s="39" t="s">
        <v>725</v>
      </c>
      <c r="F31" s="251"/>
      <c r="G31" s="77" t="s">
        <v>423</v>
      </c>
      <c r="H31" s="251"/>
      <c r="I31" s="215">
        <v>2944060</v>
      </c>
      <c r="J31" s="215">
        <v>0</v>
      </c>
      <c r="K31" s="70">
        <f t="shared" si="0"/>
        <v>2944060</v>
      </c>
    </row>
    <row r="32" spans="1:11" ht="15" customHeight="1" x14ac:dyDescent="0.25">
      <c r="A32" s="250">
        <v>43391</v>
      </c>
      <c r="B32" s="316" t="s">
        <v>793</v>
      </c>
      <c r="C32" s="141">
        <v>932</v>
      </c>
      <c r="D32" s="141">
        <v>1607</v>
      </c>
      <c r="E32" s="39" t="s">
        <v>701</v>
      </c>
      <c r="F32" s="251"/>
      <c r="G32" s="77" t="s">
        <v>794</v>
      </c>
      <c r="H32" s="251"/>
      <c r="I32" s="215">
        <v>7782600</v>
      </c>
      <c r="J32" s="215">
        <v>0</v>
      </c>
      <c r="K32" s="70">
        <f t="shared" si="0"/>
        <v>7782600</v>
      </c>
    </row>
    <row r="33" spans="1:11" ht="15" customHeight="1" x14ac:dyDescent="0.25">
      <c r="A33" s="250">
        <v>43427</v>
      </c>
      <c r="B33" s="316" t="s">
        <v>849</v>
      </c>
      <c r="C33" s="141">
        <v>1358</v>
      </c>
      <c r="D33" s="141">
        <v>1694</v>
      </c>
      <c r="E33" s="39" t="s">
        <v>745</v>
      </c>
      <c r="F33" s="251"/>
      <c r="G33" s="77" t="s">
        <v>850</v>
      </c>
      <c r="H33" s="251"/>
      <c r="I33" s="215">
        <v>57000000</v>
      </c>
      <c r="J33" s="215">
        <v>0</v>
      </c>
      <c r="K33" s="70">
        <f t="shared" si="0"/>
        <v>57000000</v>
      </c>
    </row>
    <row r="34" spans="1:11" ht="15" customHeight="1" x14ac:dyDescent="0.25">
      <c r="A34" s="250"/>
      <c r="B34" s="316"/>
      <c r="C34" s="141"/>
      <c r="D34" s="141"/>
      <c r="E34" s="39"/>
      <c r="F34" s="251"/>
      <c r="G34" s="77"/>
      <c r="H34" s="251"/>
      <c r="I34" s="215"/>
      <c r="J34" s="215"/>
      <c r="K34" s="70"/>
    </row>
    <row r="35" spans="1:11" x14ac:dyDescent="0.25">
      <c r="B35" s="216"/>
      <c r="C35" s="216"/>
      <c r="D35" s="216"/>
      <c r="E35" s="141"/>
      <c r="G35" s="220"/>
      <c r="I35" s="216"/>
      <c r="J35" s="320"/>
      <c r="K35" s="70"/>
    </row>
    <row r="36" spans="1:11" x14ac:dyDescent="0.25">
      <c r="A36" s="50"/>
      <c r="B36" s="51"/>
      <c r="C36" s="51"/>
      <c r="D36" s="51"/>
      <c r="E36" s="51"/>
      <c r="F36" s="51"/>
      <c r="G36" s="344" t="s">
        <v>131</v>
      </c>
      <c r="H36" s="345"/>
      <c r="I36" s="73">
        <f>SUM(I18:I35)</f>
        <v>2564695425</v>
      </c>
      <c r="J36" s="73">
        <f>SUM(J18:J35)</f>
        <v>1727029350</v>
      </c>
      <c r="K36" s="73">
        <f>SUM(K18:K35)</f>
        <v>837666075</v>
      </c>
    </row>
    <row r="37" spans="1:11" ht="12.75" customHeight="1" x14ac:dyDescent="0.25">
      <c r="A37" s="3"/>
      <c r="B37" s="3"/>
      <c r="C37" s="3"/>
      <c r="D37" s="3"/>
      <c r="E37" s="3"/>
      <c r="F37" s="3"/>
      <c r="G37" s="3"/>
      <c r="H37" s="3"/>
      <c r="I37" s="22"/>
      <c r="J37" s="82"/>
      <c r="K37" s="155"/>
    </row>
    <row r="38" spans="1:11" ht="24.95" customHeight="1" x14ac:dyDescent="0.25">
      <c r="A38" s="284" t="s">
        <v>58</v>
      </c>
      <c r="B38" s="284" t="s">
        <v>132</v>
      </c>
      <c r="C38" s="284" t="s">
        <v>30</v>
      </c>
      <c r="D38" s="285" t="s">
        <v>59</v>
      </c>
      <c r="E38" s="284" t="s">
        <v>40</v>
      </c>
      <c r="F38" s="284" t="s">
        <v>62</v>
      </c>
      <c r="G38" s="284" t="s">
        <v>37</v>
      </c>
      <c r="H38" s="284" t="s">
        <v>60</v>
      </c>
      <c r="I38" s="284" t="s">
        <v>61</v>
      </c>
      <c r="J38" s="284" t="s">
        <v>98</v>
      </c>
      <c r="K38" s="284" t="s">
        <v>68</v>
      </c>
    </row>
    <row r="39" spans="1:11" ht="24.95" customHeight="1" x14ac:dyDescent="0.25">
      <c r="A39" s="291">
        <v>2707000000</v>
      </c>
      <c r="B39" s="291"/>
      <c r="C39" s="291">
        <v>0</v>
      </c>
      <c r="D39" s="287">
        <f>+A39+B39-C39</f>
        <v>2707000000</v>
      </c>
      <c r="E39" s="287">
        <f>+I36</f>
        <v>2564695425</v>
      </c>
      <c r="F39" s="288">
        <f>+E39/D39</f>
        <v>0.94743089213151088</v>
      </c>
      <c r="G39" s="287">
        <f>+I14</f>
        <v>11192120</v>
      </c>
      <c r="H39" s="287">
        <f>+D39-E39-G39</f>
        <v>131112455</v>
      </c>
      <c r="I39" s="292">
        <f>+J36</f>
        <v>1727029350</v>
      </c>
      <c r="J39" s="293">
        <f>+I39/D39</f>
        <v>0.6379864610269671</v>
      </c>
      <c r="K39" s="292">
        <f>+K36</f>
        <v>837666075</v>
      </c>
    </row>
    <row r="40" spans="1:11" x14ac:dyDescent="0.25">
      <c r="A40" s="290">
        <v>1</v>
      </c>
      <c r="B40" s="290">
        <v>2</v>
      </c>
      <c r="C40" s="290">
        <v>3</v>
      </c>
      <c r="D40" s="290" t="s">
        <v>42</v>
      </c>
      <c r="E40" s="290">
        <v>5</v>
      </c>
      <c r="F40" s="290" t="s">
        <v>69</v>
      </c>
      <c r="G40" s="290">
        <v>7</v>
      </c>
      <c r="H40" s="290" t="s">
        <v>70</v>
      </c>
      <c r="I40" s="290">
        <v>9</v>
      </c>
      <c r="J40" s="290" t="s">
        <v>99</v>
      </c>
      <c r="K40" s="290" t="s">
        <v>100</v>
      </c>
    </row>
    <row r="43" spans="1:11" x14ac:dyDescent="0.25">
      <c r="B43" s="211"/>
    </row>
  </sheetData>
  <autoFilter ref="A16:K33" xr:uid="{EA1EEC11-89AA-49C8-9F9D-8BFFFEDF829F}">
    <filterColumn colId="4" showButton="0"/>
    <filterColumn colId="5" showButton="0"/>
    <filterColumn colId="6" showButton="0"/>
    <filterColumn colId="10">
      <filters>
        <filter val="110.155.765"/>
        <filter val="119.608.176"/>
        <filter val="147.369.386"/>
        <filter val="2.353.146"/>
        <filter val="2.944.060"/>
        <filter val="381.412.292"/>
        <filter val="57.000.000"/>
        <filter val="7.782.600"/>
        <filter val="9.040.650"/>
        <filter val="GIRAR"/>
      </filters>
    </filterColumn>
  </autoFilter>
  <mergeCells count="14">
    <mergeCell ref="G36:H36"/>
    <mergeCell ref="E16:H16"/>
    <mergeCell ref="E17:F17"/>
    <mergeCell ref="G17:H17"/>
    <mergeCell ref="E5:H5"/>
    <mergeCell ref="E6:H6"/>
    <mergeCell ref="G14:H14"/>
    <mergeCell ref="B5:B6"/>
    <mergeCell ref="A5:A6"/>
    <mergeCell ref="D5:D6"/>
    <mergeCell ref="J16:J17"/>
    <mergeCell ref="I16:I17"/>
    <mergeCell ref="I5:I6"/>
    <mergeCell ref="J5:K6"/>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37</vt:i4>
      </vt:variant>
    </vt:vector>
  </HeadingPairs>
  <TitlesOfParts>
    <vt:vector size="65" baseType="lpstr">
      <vt:lpstr>DOTACION</vt:lpstr>
      <vt:lpstr>GASTOS DE COMPUTADOR</vt:lpstr>
      <vt:lpstr>COM, LUBRICAN, Y LLANTAS</vt:lpstr>
      <vt:lpstr>MATERIALES Y SUMINISTROS</vt:lpstr>
      <vt:lpstr>ARRENDAMIENTOS</vt:lpstr>
      <vt:lpstr>VIATICOS</vt:lpstr>
      <vt:lpstr>GASTOS DE TRANS, Y COMUNICA</vt:lpstr>
      <vt:lpstr>IMPRESOS Y PUBLICACIÓN</vt:lpstr>
      <vt:lpstr>MANTENIMIENTO ENTIDAD</vt:lpstr>
      <vt:lpstr>SEGUROS ENTIDAD</vt:lpstr>
      <vt:lpstr>ENERGIA</vt:lpstr>
      <vt:lpstr>ACUEDUCTO</vt:lpstr>
      <vt:lpstr>ASEO</vt:lpstr>
      <vt:lpstr>TELEFONO</vt:lpstr>
      <vt:lpstr>CAPACITACIÓN</vt:lpstr>
      <vt:lpstr>BIENESTAR</vt:lpstr>
      <vt:lpstr>PROMOCIÓN</vt:lpstr>
      <vt:lpstr>SALUD OCU.</vt:lpstr>
      <vt:lpstr>SENTENCIAS</vt:lpstr>
      <vt:lpstr>IMPUESTOS, TASAS</vt:lpstr>
      <vt:lpstr>NOMINA</vt:lpstr>
      <vt:lpstr>HONORARIOS</vt:lpstr>
      <vt:lpstr>R.S.T.</vt:lpstr>
      <vt:lpstr>OTROS GASTOS PERSONAL</vt:lpstr>
      <vt:lpstr>APORTES</vt:lpstr>
      <vt:lpstr>PASIVOS</vt:lpstr>
      <vt:lpstr>TOTAL</vt:lpstr>
      <vt:lpstr>SUSPENSION</vt:lpstr>
      <vt:lpstr>ACUEDUCTO!Área_de_impresión</vt:lpstr>
      <vt:lpstr>APORTES!Área_de_impresión</vt:lpstr>
      <vt:lpstr>ARRENDAMIENTOS!Área_de_impresión</vt:lpstr>
      <vt:lpstr>ASEO!Área_de_impresión</vt:lpstr>
      <vt:lpstr>BIENESTAR!Área_de_impresión</vt:lpstr>
      <vt:lpstr>CAPACITACIÓN!Área_de_impresión</vt:lpstr>
      <vt:lpstr>'COM, LUBRICAN, Y LLANTAS'!Área_de_impresión</vt:lpstr>
      <vt:lpstr>DOTACION!Área_de_impresión</vt:lpstr>
      <vt:lpstr>ENERGIA!Área_de_impresión</vt:lpstr>
      <vt:lpstr>'GASTOS DE COMPUTADOR'!Área_de_impresión</vt:lpstr>
      <vt:lpstr>'GASTOS DE TRANS, Y COMUNICA'!Área_de_impresión</vt:lpstr>
      <vt:lpstr>HONORARIOS!Área_de_impresión</vt:lpstr>
      <vt:lpstr>'IMPRESOS Y PUBLICACIÓN'!Área_de_impresión</vt:lpstr>
      <vt:lpstr>'IMPUESTOS, TASAS'!Área_de_impresión</vt:lpstr>
      <vt:lpstr>'MANTENIMIENTO ENTIDAD'!Área_de_impresión</vt:lpstr>
      <vt:lpstr>'MATERIALES Y SUMINISTROS'!Área_de_impresión</vt:lpstr>
      <vt:lpstr>NOMINA!Área_de_impresión</vt:lpstr>
      <vt:lpstr>PROMOCIÓN!Área_de_impresión</vt:lpstr>
      <vt:lpstr>R.S.T.!Área_de_impresión</vt:lpstr>
      <vt:lpstr>'SALUD OCU.'!Área_de_impresión</vt:lpstr>
      <vt:lpstr>'SEGUROS ENTIDAD'!Área_de_impresión</vt:lpstr>
      <vt:lpstr>SENTENCIAS!Área_de_impresión</vt:lpstr>
      <vt:lpstr>SUSPENSION!Área_de_impresión</vt:lpstr>
      <vt:lpstr>TELEFONO!Área_de_impresión</vt:lpstr>
      <vt:lpstr>TOTAL!Área_de_impresión</vt:lpstr>
      <vt:lpstr>ACUEDUCTO!Títulos_a_imprimir</vt:lpstr>
      <vt:lpstr>APORTES!Títulos_a_imprimir</vt:lpstr>
      <vt:lpstr>BIENESTAR!Títulos_a_imprimir</vt:lpstr>
      <vt:lpstr>ENERGIA!Títulos_a_imprimir</vt:lpstr>
      <vt:lpstr>'GASTOS DE TRANS, Y COMUNICA'!Títulos_a_imprimir</vt:lpstr>
      <vt:lpstr>HONORARIOS!Títulos_a_imprimir</vt:lpstr>
      <vt:lpstr>'IMPRESOS Y PUBLICACIÓN'!Títulos_a_imprimir</vt:lpstr>
      <vt:lpstr>'MANTENIMIENTO ENTIDAD'!Títulos_a_imprimir</vt:lpstr>
      <vt:lpstr>'MATERIALES Y SUMINISTROS'!Títulos_a_imprimir</vt:lpstr>
      <vt:lpstr>'SEGUROS ENTIDAD'!Títulos_a_imprimir</vt:lpstr>
      <vt:lpstr>SENTENCIAS!Títulos_a_imprimir</vt:lpstr>
      <vt:lpstr>TELEFONO!Títulos_a_imprimir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Yaira Milena Quintero Caucali</cp:lastModifiedBy>
  <cp:lastPrinted>2018-12-06T14:04:07Z</cp:lastPrinted>
  <dcterms:created xsi:type="dcterms:W3CDTF">2002-01-22T18:31:49Z</dcterms:created>
  <dcterms:modified xsi:type="dcterms:W3CDTF">2018-12-06T14:13:02Z</dcterms:modified>
</cp:coreProperties>
</file>