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2010" windowWidth="9180" windowHeight="4515" tabRatio="793" firstSheet="6"/>
  </bookViews>
  <sheets>
    <sheet name="CDP" sheetId="78" r:id="rId1"/>
    <sheet name="RP" sheetId="79" r:id="rId2"/>
    <sheet name="0101" sheetId="41" r:id="rId3"/>
    <sheet name="0102" sheetId="21" r:id="rId4"/>
    <sheet name="0103" sheetId="22" r:id="rId5"/>
    <sheet name="0104" sheetId="44" r:id="rId6"/>
    <sheet name="0201" sheetId="68" r:id="rId7"/>
    <sheet name="0202" sheetId="76" r:id="rId8"/>
    <sheet name="0203" sheetId="47" r:id="rId9"/>
    <sheet name="0204" sheetId="48" r:id="rId10"/>
    <sheet name="0205" sheetId="49" r:id="rId11"/>
    <sheet name="0206" sheetId="28" r:id="rId12"/>
    <sheet name="020801" sheetId="50" r:id="rId13"/>
    <sheet name="020802" sheetId="51" r:id="rId14"/>
    <sheet name="020803" sheetId="31" r:id="rId15"/>
    <sheet name="020804" sheetId="32" r:id="rId16"/>
    <sheet name="0209" sheetId="69" r:id="rId17"/>
    <sheet name="0210" sheetId="52" r:id="rId18"/>
    <sheet name="0211" sheetId="60" r:id="rId19"/>
    <sheet name="0212" sheetId="59" r:id="rId20"/>
    <sheet name="0301" sheetId="62" r:id="rId21"/>
    <sheet name="0302" sheetId="61" r:id="rId22"/>
    <sheet name="NOMINA" sheetId="53" r:id="rId23"/>
    <sheet name="HONOR" sheetId="63" r:id="rId24"/>
    <sheet name="R.S.T." sheetId="72" r:id="rId25"/>
    <sheet name="APORTES" sheetId="54" r:id="rId26"/>
    <sheet name="PASIVOS" sheetId="74" r:id="rId27"/>
    <sheet name="TOTAL" sheetId="17" r:id="rId28"/>
    <sheet name="SUSPENSION" sheetId="71" state="hidden" r:id="rId29"/>
  </sheets>
  <definedNames>
    <definedName name="_xlnm._FilterDatabase" localSheetId="8" hidden="1">'0203'!$A$16:$K$20</definedName>
    <definedName name="_xlnm.Print_Area" localSheetId="2">'0101'!$A$1:$K$24</definedName>
    <definedName name="_xlnm.Print_Area" localSheetId="3">'0102'!$A$1:$K$37</definedName>
    <definedName name="_xlnm.Print_Area" localSheetId="4">'0103'!$A$1:$K$26</definedName>
    <definedName name="_xlnm.Print_Area" localSheetId="5">'0104'!$A$1:$K$31</definedName>
    <definedName name="_xlnm.Print_Area" localSheetId="6">'0201'!$A$1:$K$23</definedName>
    <definedName name="_xlnm.Print_Area" localSheetId="8">'0203'!$A$1:$K$52</definedName>
    <definedName name="_xlnm.Print_Area" localSheetId="9">'0204'!$A$1:$K$29</definedName>
    <definedName name="_xlnm.Print_Area" localSheetId="10">'0205'!$A$1:$K$31</definedName>
    <definedName name="_xlnm.Print_Area" localSheetId="11">'0206'!$A$1:$K$21</definedName>
    <definedName name="_xlnm.Print_Area" localSheetId="12">'020801'!$A$1:$K$93</definedName>
    <definedName name="_xlnm.Print_Area" localSheetId="13">'020802'!$A$1:$K$77</definedName>
    <definedName name="_xlnm.Print_Area" localSheetId="14">'020803'!$A$1:$K$63</definedName>
    <definedName name="_xlnm.Print_Area" localSheetId="15">'020804'!$A$1:$K$31</definedName>
    <definedName name="_xlnm.Print_Area" localSheetId="16">'0209'!$A$1:$K$22</definedName>
    <definedName name="_xlnm.Print_Area" localSheetId="17">'0210'!$A$1:$K$142</definedName>
    <definedName name="_xlnm.Print_Area" localSheetId="18">'0211'!$A$1:$K$24</definedName>
    <definedName name="_xlnm.Print_Area" localSheetId="19">'0212'!$A$1:$K$24</definedName>
    <definedName name="_xlnm.Print_Area" localSheetId="20">'0301'!$A$1:$K$36</definedName>
    <definedName name="_xlnm.Print_Area" localSheetId="21">'0302'!$A$1:$K$28</definedName>
    <definedName name="_xlnm.Print_Area" localSheetId="25">APORTES!$A$1:$K$50</definedName>
    <definedName name="_xlnm.Print_Area" localSheetId="0">CDP!$A$1:$K$88</definedName>
    <definedName name="_xlnm.Print_Area" localSheetId="23">HONOR!$A$1:$K$43</definedName>
    <definedName name="_xlnm.Print_Area" localSheetId="22">NOMINA!$A$1:$K$35</definedName>
    <definedName name="_xlnm.Print_Area" localSheetId="24">R.S.T.!$A$1:$K$22</definedName>
    <definedName name="_xlnm.Print_Area" localSheetId="1">RP!$A$1:$K$90</definedName>
    <definedName name="_xlnm.Print_Area" localSheetId="28">SUSPENSION!$A$1:$H$36</definedName>
    <definedName name="_xlnm.Print_Area" localSheetId="27">TOTAL!$A$1:$M$34</definedName>
    <definedName name="_xlnm.Print_Titles" localSheetId="5">'0104'!$15:$16</definedName>
    <definedName name="_xlnm.Print_Titles" localSheetId="8">'0203'!$15:$16</definedName>
    <definedName name="_xlnm.Print_Titles" localSheetId="9">'0204'!$11:$12</definedName>
    <definedName name="_xlnm.Print_Titles" localSheetId="10">'0205'!$13:$14</definedName>
    <definedName name="_xlnm.Print_Titles" localSheetId="11">'0206'!$11:$12</definedName>
    <definedName name="_xlnm.Print_Titles" localSheetId="12">'020801'!$11:$12</definedName>
    <definedName name="_xlnm.Print_Titles" localSheetId="13">'020802'!$11:$12</definedName>
    <definedName name="_xlnm.Print_Titles" localSheetId="15">'020804'!$12:$13</definedName>
    <definedName name="_xlnm.Print_Titles" localSheetId="17">'0210'!$12:$13</definedName>
    <definedName name="_xlnm.Print_Titles" localSheetId="20">'0301'!$12:$13</definedName>
    <definedName name="_xlnm.Print_Titles" localSheetId="25">APORTES!$11:$12</definedName>
    <definedName name="_xlnm.Print_Titles" localSheetId="23">HONOR!$12:$13</definedName>
  </definedNames>
  <calcPr calcId="171027" fullCalcOnLoad="1"/>
</workbook>
</file>

<file path=xl/calcChain.xml><?xml version="1.0" encoding="utf-8"?>
<calcChain xmlns="http://schemas.openxmlformats.org/spreadsheetml/2006/main">
  <c r="B23" i="41" l="1"/>
  <c r="B34" i="76"/>
  <c r="J15" i="28"/>
  <c r="K24" i="49"/>
  <c r="M17" i="17"/>
  <c r="M15" i="17"/>
  <c r="K15" i="28"/>
  <c r="K17" i="28"/>
  <c r="K20" i="28"/>
  <c r="M14" i="17"/>
  <c r="K17" i="60"/>
  <c r="K20" i="60"/>
  <c r="K23" i="60"/>
  <c r="M22" i="17"/>
  <c r="J27" i="49"/>
  <c r="I27" i="49"/>
  <c r="M25" i="17"/>
  <c r="K14" i="53"/>
  <c r="K15" i="53"/>
  <c r="K16" i="53"/>
  <c r="K17" i="53"/>
  <c r="K18" i="53"/>
  <c r="K19" i="53"/>
  <c r="K20" i="53"/>
  <c r="K21" i="53"/>
  <c r="K22" i="53"/>
  <c r="K23" i="53"/>
  <c r="K24" i="53"/>
  <c r="I25" i="53"/>
  <c r="J25" i="53"/>
  <c r="K25" i="53"/>
  <c r="K26" i="53"/>
  <c r="K27" i="53"/>
  <c r="K28" i="53"/>
  <c r="K31" i="53"/>
  <c r="K34" i="53"/>
  <c r="M29" i="17"/>
  <c r="M28" i="17"/>
  <c r="I30" i="49"/>
  <c r="K13" i="17"/>
  <c r="K17" i="17"/>
  <c r="K15" i="17"/>
  <c r="J17" i="28"/>
  <c r="I20" i="28"/>
  <c r="K14" i="17"/>
  <c r="J20" i="60"/>
  <c r="I23" i="60"/>
  <c r="K22" i="17"/>
  <c r="J32" i="62"/>
  <c r="I35" i="62"/>
  <c r="K25" i="17"/>
  <c r="J31" i="53"/>
  <c r="I34" i="53"/>
  <c r="K29" i="17"/>
  <c r="K28" i="17"/>
  <c r="L28" i="17"/>
  <c r="D34" i="53"/>
  <c r="F29" i="17"/>
  <c r="F28" i="17"/>
  <c r="H28" i="17"/>
  <c r="F17" i="17"/>
  <c r="F15" i="17"/>
  <c r="F25" i="17"/>
  <c r="E30" i="49"/>
  <c r="H30" i="49"/>
  <c r="J13" i="17"/>
  <c r="J17" i="17"/>
  <c r="J15" i="17"/>
  <c r="I12" i="61"/>
  <c r="G27" i="61"/>
  <c r="I32" i="62"/>
  <c r="E35" i="62"/>
  <c r="I10" i="62"/>
  <c r="G35" i="62"/>
  <c r="H35" i="62"/>
  <c r="J25" i="17"/>
  <c r="I9" i="41"/>
  <c r="G23" i="41"/>
  <c r="I31" i="53"/>
  <c r="E34" i="53"/>
  <c r="I10" i="53"/>
  <c r="G34" i="53"/>
  <c r="I4" i="17"/>
  <c r="I3" i="17"/>
  <c r="I17" i="17"/>
  <c r="I15" i="17"/>
  <c r="G13" i="17"/>
  <c r="G17" i="17"/>
  <c r="G15" i="17"/>
  <c r="G25" i="17"/>
  <c r="G29" i="17"/>
  <c r="G28" i="17"/>
  <c r="E29" i="17"/>
  <c r="E28" i="17"/>
  <c r="E17" i="17"/>
  <c r="E15" i="17"/>
  <c r="E25" i="17"/>
  <c r="D29" i="17"/>
  <c r="D28" i="17"/>
  <c r="D17" i="17"/>
  <c r="D15" i="17"/>
  <c r="D25" i="17"/>
  <c r="C29" i="17"/>
  <c r="C28" i="17"/>
  <c r="C17" i="17"/>
  <c r="C15" i="17"/>
  <c r="C25" i="17"/>
  <c r="I7" i="32"/>
  <c r="I7" i="50"/>
  <c r="K87" i="50"/>
  <c r="K86" i="50"/>
  <c r="K85" i="50"/>
  <c r="I9" i="47"/>
  <c r="K45" i="47"/>
  <c r="K28" i="76"/>
  <c r="K31" i="76"/>
  <c r="K34" i="76"/>
  <c r="M10" i="17"/>
  <c r="K37" i="63"/>
  <c r="I7" i="51"/>
  <c r="K70" i="51"/>
  <c r="I9" i="50"/>
  <c r="G92" i="50"/>
  <c r="I89" i="50"/>
  <c r="E92" i="50"/>
  <c r="D92" i="50"/>
  <c r="H92" i="50"/>
  <c r="J16" i="17"/>
  <c r="K84" i="50"/>
  <c r="K18" i="60"/>
  <c r="B30" i="49"/>
  <c r="K83" i="50"/>
  <c r="B20" i="28"/>
  <c r="K82" i="50"/>
  <c r="I8" i="47"/>
  <c r="K44" i="47"/>
  <c r="I7" i="62"/>
  <c r="K18" i="59"/>
  <c r="J138" i="52"/>
  <c r="I7" i="31"/>
  <c r="K56" i="31"/>
  <c r="K69" i="51"/>
  <c r="K68" i="51"/>
  <c r="K67"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41" i="51"/>
  <c r="K40" i="51"/>
  <c r="K39" i="51"/>
  <c r="K38" i="51"/>
  <c r="K37" i="51"/>
  <c r="K36" i="51"/>
  <c r="K35" i="51"/>
  <c r="K34" i="51"/>
  <c r="K33" i="51"/>
  <c r="K32" i="51"/>
  <c r="K31" i="51"/>
  <c r="K30" i="51"/>
  <c r="K29" i="51"/>
  <c r="K28" i="51"/>
  <c r="K27" i="51"/>
  <c r="K26" i="51"/>
  <c r="K25" i="51"/>
  <c r="K24" i="51"/>
  <c r="K23" i="51"/>
  <c r="K22" i="51"/>
  <c r="K21" i="51"/>
  <c r="K20" i="51"/>
  <c r="K19" i="51"/>
  <c r="K18" i="51"/>
  <c r="K17" i="51"/>
  <c r="K16" i="51"/>
  <c r="K15" i="51"/>
  <c r="K23" i="48"/>
  <c r="I7" i="48"/>
  <c r="I10" i="47"/>
  <c r="K43" i="47"/>
  <c r="I8" i="44"/>
  <c r="I8" i="61"/>
  <c r="K23" i="32"/>
  <c r="K55" i="31"/>
  <c r="K54" i="31"/>
  <c r="K53" i="31"/>
  <c r="K52" i="31"/>
  <c r="K51" i="31"/>
  <c r="K81" i="50"/>
  <c r="K80" i="50"/>
  <c r="K79" i="50"/>
  <c r="K78" i="50"/>
  <c r="K77" i="50"/>
  <c r="K76" i="50"/>
  <c r="K75" i="50"/>
  <c r="K22" i="48"/>
  <c r="K21" i="48"/>
  <c r="K20" i="48"/>
  <c r="I7" i="47"/>
  <c r="K42" i="47"/>
  <c r="K41" i="47"/>
  <c r="K40" i="47"/>
  <c r="K39" i="47"/>
  <c r="K17" i="68"/>
  <c r="K24" i="44"/>
  <c r="I7" i="21"/>
  <c r="K30" i="21"/>
  <c r="K40" i="54"/>
  <c r="K36" i="63"/>
  <c r="K74" i="50"/>
  <c r="K73" i="50"/>
  <c r="I11" i="47"/>
  <c r="K38" i="47"/>
  <c r="K16" i="68"/>
  <c r="I9" i="44"/>
  <c r="K23" i="44"/>
  <c r="I8" i="21"/>
  <c r="K29" i="21"/>
  <c r="D32" i="17"/>
  <c r="C30" i="17"/>
  <c r="D30" i="17"/>
  <c r="E30" i="17"/>
  <c r="E32" i="17"/>
  <c r="C31" i="17"/>
  <c r="D31" i="17"/>
  <c r="E31" i="17"/>
  <c r="I31" i="17"/>
  <c r="M31" i="17"/>
  <c r="C32" i="17"/>
  <c r="C33" i="17"/>
  <c r="D33" i="17"/>
  <c r="E33" i="17"/>
  <c r="H33" i="17"/>
  <c r="L33" i="17"/>
  <c r="K135" i="52"/>
  <c r="K134" i="52"/>
  <c r="K133" i="52"/>
  <c r="K132" i="52"/>
  <c r="K131" i="52"/>
  <c r="K130" i="52"/>
  <c r="K129" i="52"/>
  <c r="K128" i="52"/>
  <c r="K127" i="52"/>
  <c r="K126" i="52"/>
  <c r="K125" i="52"/>
  <c r="K124" i="52"/>
  <c r="K123" i="52"/>
  <c r="K122" i="52"/>
  <c r="K121" i="52"/>
  <c r="K120" i="52"/>
  <c r="K119" i="52"/>
  <c r="K118" i="52"/>
  <c r="K117" i="52"/>
  <c r="K116" i="52"/>
  <c r="K115" i="52"/>
  <c r="K114" i="52"/>
  <c r="K113" i="52"/>
  <c r="K112" i="52"/>
  <c r="K111" i="52"/>
  <c r="K110" i="52"/>
  <c r="K109" i="52"/>
  <c r="K108" i="52"/>
  <c r="K107" i="52"/>
  <c r="K106" i="52"/>
  <c r="K105" i="52"/>
  <c r="K104" i="52"/>
  <c r="K103" i="52"/>
  <c r="K102" i="52"/>
  <c r="K101" i="52"/>
  <c r="K100" i="52"/>
  <c r="K99" i="52"/>
  <c r="K98" i="52"/>
  <c r="K97" i="52"/>
  <c r="K96" i="52"/>
  <c r="K95" i="52"/>
  <c r="K94" i="52"/>
  <c r="K93" i="52"/>
  <c r="K92" i="52"/>
  <c r="K37" i="47"/>
  <c r="K39" i="54"/>
  <c r="K14" i="52"/>
  <c r="K15" i="52"/>
  <c r="K16" i="52"/>
  <c r="K17" i="52"/>
  <c r="K18" i="52"/>
  <c r="K19" i="52"/>
  <c r="K20" i="52"/>
  <c r="K21" i="52"/>
  <c r="K22" i="52"/>
  <c r="K23" i="52"/>
  <c r="K24" i="52"/>
  <c r="K25" i="52"/>
  <c r="K138" i="52"/>
  <c r="K141" i="52"/>
  <c r="M21" i="17"/>
  <c r="M8" i="17"/>
  <c r="M27" i="17"/>
  <c r="M34" i="17"/>
  <c r="K26" i="52"/>
  <c r="K27" i="52"/>
  <c r="K28" i="52"/>
  <c r="K29" i="52"/>
  <c r="K30" i="52"/>
  <c r="K31" i="52"/>
  <c r="K32" i="52"/>
  <c r="K33" i="52"/>
  <c r="K34" i="52"/>
  <c r="K35" i="52"/>
  <c r="K36" i="52"/>
  <c r="K37" i="52"/>
  <c r="K38" i="52"/>
  <c r="K39" i="52"/>
  <c r="K40" i="52"/>
  <c r="K41" i="52"/>
  <c r="K42" i="52"/>
  <c r="K43" i="52"/>
  <c r="K44" i="52"/>
  <c r="K45" i="52"/>
  <c r="K46" i="52"/>
  <c r="K47" i="52"/>
  <c r="K48" i="52"/>
  <c r="K49" i="52"/>
  <c r="K50" i="52"/>
  <c r="K51" i="52"/>
  <c r="K52" i="52"/>
  <c r="K53" i="52"/>
  <c r="K54" i="52"/>
  <c r="K55" i="52"/>
  <c r="K56" i="52"/>
  <c r="K57" i="52"/>
  <c r="K58" i="52"/>
  <c r="K59" i="52"/>
  <c r="K60" i="52"/>
  <c r="K61" i="52"/>
  <c r="K62" i="52"/>
  <c r="K63" i="52"/>
  <c r="K64" i="52"/>
  <c r="K65" i="52"/>
  <c r="K66" i="52"/>
  <c r="K67" i="52"/>
  <c r="K68" i="52"/>
  <c r="K69" i="52"/>
  <c r="K70" i="52"/>
  <c r="K71" i="52"/>
  <c r="K72" i="52"/>
  <c r="K73" i="52"/>
  <c r="K74" i="52"/>
  <c r="K75" i="52"/>
  <c r="K76" i="52"/>
  <c r="K77" i="52"/>
  <c r="K78" i="52"/>
  <c r="K79" i="52"/>
  <c r="K80" i="52"/>
  <c r="K81" i="52"/>
  <c r="K82" i="52"/>
  <c r="K83" i="52"/>
  <c r="K84" i="52"/>
  <c r="K85" i="52"/>
  <c r="K86" i="52"/>
  <c r="K87" i="52"/>
  <c r="K88" i="52"/>
  <c r="K89" i="52"/>
  <c r="K90" i="52"/>
  <c r="K91" i="52"/>
  <c r="K22" i="32"/>
  <c r="K72" i="50"/>
  <c r="K71" i="50"/>
  <c r="K70" i="50"/>
  <c r="K38" i="54"/>
  <c r="K69" i="50"/>
  <c r="J85" i="79"/>
  <c r="I85" i="79"/>
  <c r="K84" i="79"/>
  <c r="K83" i="79"/>
  <c r="K82" i="79"/>
  <c r="K81" i="79"/>
  <c r="K80" i="79"/>
  <c r="K79" i="79"/>
  <c r="K78" i="79"/>
  <c r="K77" i="79"/>
  <c r="K85" i="79"/>
  <c r="J75" i="79"/>
  <c r="I75" i="79"/>
  <c r="K74" i="79"/>
  <c r="K73" i="79"/>
  <c r="K75" i="79"/>
  <c r="J71" i="79"/>
  <c r="I71" i="79"/>
  <c r="K70" i="79"/>
  <c r="K69" i="79"/>
  <c r="K68" i="79"/>
  <c r="J66" i="79"/>
  <c r="I66" i="79"/>
  <c r="K65" i="79"/>
  <c r="K66" i="79"/>
  <c r="J63" i="79"/>
  <c r="I63" i="79"/>
  <c r="K62" i="79"/>
  <c r="K63" i="79"/>
  <c r="J60" i="79"/>
  <c r="I60" i="79"/>
  <c r="K59" i="79"/>
  <c r="K58" i="79"/>
  <c r="J53" i="79"/>
  <c r="I53" i="79"/>
  <c r="K52" i="79"/>
  <c r="K51" i="79"/>
  <c r="K53" i="79"/>
  <c r="J49" i="79"/>
  <c r="K48" i="79"/>
  <c r="K47" i="79"/>
  <c r="K46" i="79"/>
  <c r="K45" i="79"/>
  <c r="K44" i="79"/>
  <c r="K43" i="79"/>
  <c r="K42" i="79"/>
  <c r="J40" i="79"/>
  <c r="I40" i="79"/>
  <c r="K39" i="79"/>
  <c r="K38" i="79"/>
  <c r="J36" i="79"/>
  <c r="I36" i="79"/>
  <c r="K35" i="79"/>
  <c r="K34" i="79"/>
  <c r="K33" i="79"/>
  <c r="K32" i="79"/>
  <c r="K31" i="79"/>
  <c r="J29" i="79"/>
  <c r="I29" i="79"/>
  <c r="K28" i="79"/>
  <c r="K27" i="79"/>
  <c r="J25" i="79"/>
  <c r="I25" i="79"/>
  <c r="K24" i="79"/>
  <c r="J22" i="79"/>
  <c r="K21" i="79"/>
  <c r="K20" i="79"/>
  <c r="K19" i="79"/>
  <c r="K18" i="79"/>
  <c r="K17" i="79"/>
  <c r="K16" i="79"/>
  <c r="K15" i="79"/>
  <c r="K14" i="79"/>
  <c r="K13" i="79"/>
  <c r="K12" i="79"/>
  <c r="K11" i="79"/>
  <c r="K10" i="79"/>
  <c r="I22" i="79"/>
  <c r="J8" i="79"/>
  <c r="I8" i="79"/>
  <c r="K7" i="79"/>
  <c r="K6" i="79"/>
  <c r="I84" i="78"/>
  <c r="I85" i="78"/>
  <c r="I81" i="78"/>
  <c r="I82" i="78"/>
  <c r="I77" i="78"/>
  <c r="I75" i="78"/>
  <c r="I73" i="78"/>
  <c r="I68" i="78"/>
  <c r="I69" i="78"/>
  <c r="I64" i="78"/>
  <c r="I66" i="78"/>
  <c r="I60" i="78"/>
  <c r="I62" i="78"/>
  <c r="I51" i="78"/>
  <c r="I53" i="78"/>
  <c r="I47" i="78"/>
  <c r="I49" i="78"/>
  <c r="I45" i="78"/>
  <c r="I42" i="78"/>
  <c r="I37" i="78"/>
  <c r="I38" i="78"/>
  <c r="I33" i="78"/>
  <c r="I32" i="78"/>
  <c r="I31" i="78"/>
  <c r="I30" i="78"/>
  <c r="I27" i="78"/>
  <c r="I28" i="78"/>
  <c r="I24" i="78"/>
  <c r="I25" i="78"/>
  <c r="I21" i="78"/>
  <c r="I22" i="78"/>
  <c r="I16" i="78"/>
  <c r="I15" i="78"/>
  <c r="I14" i="78"/>
  <c r="I13" i="78"/>
  <c r="I12" i="78"/>
  <c r="I11" i="78"/>
  <c r="I10" i="78"/>
  <c r="I7" i="78"/>
  <c r="I8" i="78"/>
  <c r="I88" i="78"/>
  <c r="I6" i="78"/>
  <c r="K35" i="63"/>
  <c r="K26" i="62"/>
  <c r="K50" i="31"/>
  <c r="K49" i="31"/>
  <c r="K48" i="31"/>
  <c r="K47" i="31"/>
  <c r="K68" i="50"/>
  <c r="K67" i="50"/>
  <c r="K19" i="48"/>
  <c r="K36" i="47"/>
  <c r="K22" i="44"/>
  <c r="K28" i="21"/>
  <c r="K27" i="21"/>
  <c r="K26" i="21"/>
  <c r="K66" i="50"/>
  <c r="K46" i="31"/>
  <c r="K45" i="31"/>
  <c r="K44" i="31"/>
  <c r="K43" i="31"/>
  <c r="K42" i="31"/>
  <c r="K41" i="31"/>
  <c r="K40" i="31"/>
  <c r="K65" i="50"/>
  <c r="K35" i="47"/>
  <c r="K18" i="48"/>
  <c r="K17" i="48"/>
  <c r="K16" i="48"/>
  <c r="K21" i="44"/>
  <c r="K64" i="50"/>
  <c r="K63" i="50"/>
  <c r="K62" i="50"/>
  <c r="K61" i="50"/>
  <c r="K60" i="50"/>
  <c r="K59" i="50"/>
  <c r="K58" i="50"/>
  <c r="K36" i="54"/>
  <c r="K37" i="54"/>
  <c r="K33" i="63"/>
  <c r="K34" i="63"/>
  <c r="K39" i="63"/>
  <c r="K42" i="63"/>
  <c r="M30" i="17"/>
  <c r="K19" i="61"/>
  <c r="K25" i="62"/>
  <c r="K24" i="62"/>
  <c r="K21" i="32"/>
  <c r="I15" i="49"/>
  <c r="K34" i="47"/>
  <c r="K33" i="47"/>
  <c r="K32" i="47"/>
  <c r="I14" i="21"/>
  <c r="K25" i="21"/>
  <c r="K24" i="21"/>
  <c r="K23" i="21"/>
  <c r="K22" i="21"/>
  <c r="K21" i="21"/>
  <c r="I8" i="63"/>
  <c r="I10" i="63"/>
  <c r="G42" i="63"/>
  <c r="I30" i="17"/>
  <c r="K32" i="63"/>
  <c r="K31" i="63"/>
  <c r="K57" i="50"/>
  <c r="I9" i="28"/>
  <c r="K23" i="49"/>
  <c r="K22" i="49"/>
  <c r="K20" i="21"/>
  <c r="K35" i="54"/>
  <c r="K23" i="62"/>
  <c r="I9" i="59"/>
  <c r="G23" i="59"/>
  <c r="I23" i="17"/>
  <c r="K20" i="32"/>
  <c r="K19" i="32"/>
  <c r="K56" i="50"/>
  <c r="K55" i="50"/>
  <c r="K54" i="50"/>
  <c r="K53" i="50"/>
  <c r="K52" i="50"/>
  <c r="K51" i="50"/>
  <c r="K50" i="50"/>
  <c r="K31" i="47"/>
  <c r="I10" i="21"/>
  <c r="G36" i="21"/>
  <c r="I5" i="17"/>
  <c r="D10" i="17"/>
  <c r="D34" i="76"/>
  <c r="F10" i="17"/>
  <c r="J31" i="76"/>
  <c r="I34" i="76"/>
  <c r="K10" i="17"/>
  <c r="I31" i="76"/>
  <c r="E34" i="76"/>
  <c r="I9" i="76"/>
  <c r="G34" i="76"/>
  <c r="I10" i="17"/>
  <c r="K34" i="54"/>
  <c r="K33" i="54"/>
  <c r="K30" i="63"/>
  <c r="K29" i="63"/>
  <c r="K28" i="63"/>
  <c r="K27" i="63"/>
  <c r="K26" i="63"/>
  <c r="K21" i="62"/>
  <c r="K22" i="62"/>
  <c r="K20" i="62"/>
  <c r="K15" i="69"/>
  <c r="K14" i="69"/>
  <c r="K18" i="69"/>
  <c r="K21" i="69"/>
  <c r="J18" i="69"/>
  <c r="I18" i="69"/>
  <c r="K39" i="31"/>
  <c r="K38" i="31"/>
  <c r="K37" i="31"/>
  <c r="K36" i="31"/>
  <c r="K35" i="31"/>
  <c r="K34" i="31"/>
  <c r="K33" i="31"/>
  <c r="K32" i="31"/>
  <c r="K21" i="49"/>
  <c r="K15" i="68"/>
  <c r="K30" i="47"/>
  <c r="K29" i="47"/>
  <c r="K28" i="47"/>
  <c r="K27" i="47"/>
  <c r="K20" i="44"/>
  <c r="K19" i="44"/>
  <c r="K15" i="48"/>
  <c r="J89" i="50"/>
  <c r="K49" i="50"/>
  <c r="K48" i="50"/>
  <c r="K47" i="50"/>
  <c r="K20" i="49"/>
  <c r="K19" i="49"/>
  <c r="K46" i="50"/>
  <c r="K45" i="50"/>
  <c r="K44" i="50"/>
  <c r="K32" i="54"/>
  <c r="K31" i="54"/>
  <c r="K30" i="54"/>
  <c r="K29" i="54"/>
  <c r="K25" i="63"/>
  <c r="K43" i="50"/>
  <c r="K42" i="50"/>
  <c r="K41" i="50"/>
  <c r="K40" i="50"/>
  <c r="K19" i="62"/>
  <c r="K28" i="54"/>
  <c r="K24" i="63"/>
  <c r="K18" i="32"/>
  <c r="K31" i="31"/>
  <c r="K30" i="31"/>
  <c r="K29" i="31"/>
  <c r="K28" i="31"/>
  <c r="K27" i="31"/>
  <c r="K26" i="31"/>
  <c r="K25" i="31"/>
  <c r="K24" i="31"/>
  <c r="K23" i="31"/>
  <c r="K14" i="51"/>
  <c r="K13" i="51"/>
  <c r="K39" i="50"/>
  <c r="K38" i="50"/>
  <c r="K37" i="50"/>
  <c r="K27" i="54"/>
  <c r="K26" i="47"/>
  <c r="K23" i="63"/>
  <c r="K22" i="63"/>
  <c r="K21" i="63"/>
  <c r="K20" i="63"/>
  <c r="K19" i="63"/>
  <c r="K18" i="63"/>
  <c r="K17" i="63"/>
  <c r="K16" i="63"/>
  <c r="I15" i="21"/>
  <c r="I33" i="21"/>
  <c r="E36" i="21"/>
  <c r="K36" i="50"/>
  <c r="K35" i="50"/>
  <c r="K34" i="50"/>
  <c r="K33" i="50"/>
  <c r="K32" i="50"/>
  <c r="K31" i="50"/>
  <c r="K30" i="50"/>
  <c r="K26" i="54"/>
  <c r="K25" i="47"/>
  <c r="K24" i="47"/>
  <c r="K23" i="47"/>
  <c r="K22" i="47"/>
  <c r="I10" i="52"/>
  <c r="G141" i="52"/>
  <c r="I138" i="52"/>
  <c r="K29" i="50"/>
  <c r="K28" i="50"/>
  <c r="K27" i="50"/>
  <c r="K26" i="50"/>
  <c r="K25" i="50"/>
  <c r="I11" i="49"/>
  <c r="K22" i="31"/>
  <c r="K21" i="31"/>
  <c r="K20" i="31"/>
  <c r="K19" i="31"/>
  <c r="K18" i="31"/>
  <c r="K17" i="31"/>
  <c r="K16" i="31"/>
  <c r="K15" i="31"/>
  <c r="K14" i="31"/>
  <c r="K59" i="31"/>
  <c r="K62" i="31"/>
  <c r="M18" i="17"/>
  <c r="K24" i="50"/>
  <c r="K23" i="50"/>
  <c r="K22" i="50"/>
  <c r="K21" i="50"/>
  <c r="K20" i="50"/>
  <c r="I46" i="54"/>
  <c r="E49" i="54"/>
  <c r="K18" i="54"/>
  <c r="K19" i="50"/>
  <c r="K18" i="50"/>
  <c r="K17" i="50"/>
  <c r="K16" i="50"/>
  <c r="K15" i="50"/>
  <c r="K14" i="50"/>
  <c r="I8" i="68"/>
  <c r="I10" i="68"/>
  <c r="K14" i="54"/>
  <c r="K46" i="54"/>
  <c r="K49" i="54"/>
  <c r="M32" i="17"/>
  <c r="I48" i="47"/>
  <c r="E51" i="47"/>
  <c r="F51" i="47"/>
  <c r="H11" i="17"/>
  <c r="K14" i="68"/>
  <c r="J19" i="68"/>
  <c r="I22" i="68"/>
  <c r="I19" i="68"/>
  <c r="E22" i="68"/>
  <c r="I10" i="32"/>
  <c r="J27" i="32"/>
  <c r="I27" i="32"/>
  <c r="K14" i="32"/>
  <c r="J59" i="31"/>
  <c r="I59" i="31"/>
  <c r="E62" i="31"/>
  <c r="K13" i="31"/>
  <c r="I9" i="31"/>
  <c r="J73" i="51"/>
  <c r="I73" i="51"/>
  <c r="E76" i="51"/>
  <c r="K16" i="72"/>
  <c r="K19" i="21"/>
  <c r="K18" i="21"/>
  <c r="K17" i="21"/>
  <c r="K18" i="61"/>
  <c r="K18" i="62"/>
  <c r="K19" i="22"/>
  <c r="K17" i="74"/>
  <c r="K16" i="74"/>
  <c r="K17" i="59"/>
  <c r="K17" i="32"/>
  <c r="K16" i="69"/>
  <c r="K14" i="21"/>
  <c r="K15" i="21"/>
  <c r="K16" i="21"/>
  <c r="K15" i="72"/>
  <c r="K15" i="60"/>
  <c r="K14" i="60"/>
  <c r="D23" i="74"/>
  <c r="F33" i="17"/>
  <c r="J20" i="74"/>
  <c r="I23" i="74"/>
  <c r="K33" i="17"/>
  <c r="I20" i="74"/>
  <c r="E23" i="74"/>
  <c r="K15" i="74"/>
  <c r="K20" i="74"/>
  <c r="K23" i="74"/>
  <c r="M33" i="17"/>
  <c r="I10" i="74"/>
  <c r="G23" i="74"/>
  <c r="I33" i="17"/>
  <c r="K25" i="54"/>
  <c r="J33" i="21"/>
  <c r="I36" i="21"/>
  <c r="K5" i="17"/>
  <c r="J46" i="54"/>
  <c r="K24" i="54"/>
  <c r="K23" i="54"/>
  <c r="K22" i="54"/>
  <c r="K21" i="54"/>
  <c r="K20" i="54"/>
  <c r="K19" i="54"/>
  <c r="K17" i="54"/>
  <c r="K16" i="54"/>
  <c r="K13" i="54"/>
  <c r="I9" i="48"/>
  <c r="G28" i="48"/>
  <c r="H28" i="48"/>
  <c r="J12" i="17"/>
  <c r="K13" i="50"/>
  <c r="K18" i="49"/>
  <c r="K17" i="49"/>
  <c r="K16" i="49"/>
  <c r="K27" i="49"/>
  <c r="K30" i="49"/>
  <c r="M13" i="17"/>
  <c r="K15" i="49"/>
  <c r="J48" i="47"/>
  <c r="K21" i="47"/>
  <c r="K20" i="47"/>
  <c r="K19" i="47"/>
  <c r="K18" i="47"/>
  <c r="K17" i="47"/>
  <c r="D21" i="72"/>
  <c r="F31" i="17"/>
  <c r="J18" i="72"/>
  <c r="I21" i="72"/>
  <c r="K31" i="17"/>
  <c r="I18" i="72"/>
  <c r="E21" i="72"/>
  <c r="G31" i="17"/>
  <c r="F21" i="72"/>
  <c r="H31" i="17"/>
  <c r="I10" i="72"/>
  <c r="G21" i="72"/>
  <c r="H21" i="72"/>
  <c r="J31" i="17"/>
  <c r="K18" i="72"/>
  <c r="K21" i="72"/>
  <c r="J21" i="72"/>
  <c r="L31" i="17"/>
  <c r="C34" i="71"/>
  <c r="C33" i="71"/>
  <c r="G33" i="71"/>
  <c r="C32" i="71"/>
  <c r="D31" i="71"/>
  <c r="C29" i="71"/>
  <c r="C28" i="71"/>
  <c r="D27" i="71"/>
  <c r="C26" i="71"/>
  <c r="C25" i="71"/>
  <c r="C24" i="71"/>
  <c r="G24" i="71"/>
  <c r="H24" i="71"/>
  <c r="H11" i="71"/>
  <c r="H30" i="71"/>
  <c r="H35" i="71"/>
  <c r="C23" i="71"/>
  <c r="C22" i="71"/>
  <c r="C21" i="71"/>
  <c r="C20" i="71"/>
  <c r="C19" i="71"/>
  <c r="E19" i="71"/>
  <c r="C18" i="71"/>
  <c r="G18" i="71"/>
  <c r="D17" i="71"/>
  <c r="C16" i="71"/>
  <c r="G16" i="71"/>
  <c r="C15" i="71"/>
  <c r="E15" i="71"/>
  <c r="F15" i="71"/>
  <c r="C14" i="71"/>
  <c r="G14" i="71"/>
  <c r="C13" i="71"/>
  <c r="E13" i="71"/>
  <c r="C12" i="71"/>
  <c r="D11" i="71"/>
  <c r="D30" i="71"/>
  <c r="D35" i="71"/>
  <c r="C10" i="71"/>
  <c r="C9" i="71"/>
  <c r="H9" i="71"/>
  <c r="C8" i="71"/>
  <c r="G8" i="71"/>
  <c r="H8" i="71"/>
  <c r="C7" i="71"/>
  <c r="G7" i="71"/>
  <c r="D6" i="71"/>
  <c r="G9" i="71"/>
  <c r="E9" i="71"/>
  <c r="G15" i="71"/>
  <c r="G20" i="71"/>
  <c r="G22" i="71"/>
  <c r="H22" i="71"/>
  <c r="E22" i="71"/>
  <c r="F22" i="71"/>
  <c r="E24" i="71"/>
  <c r="F24" i="71"/>
  <c r="E26" i="71"/>
  <c r="G29" i="71"/>
  <c r="G27" i="71"/>
  <c r="E33" i="71"/>
  <c r="F33" i="71"/>
  <c r="E34" i="71"/>
  <c r="F34" i="71"/>
  <c r="E32" i="71"/>
  <c r="F32" i="71"/>
  <c r="F31" i="71"/>
  <c r="G34" i="71"/>
  <c r="E21" i="71"/>
  <c r="F21" i="71"/>
  <c r="G21" i="71"/>
  <c r="H21" i="71"/>
  <c r="E23" i="71"/>
  <c r="F23" i="71"/>
  <c r="G23" i="71"/>
  <c r="H23" i="71"/>
  <c r="E25" i="71"/>
  <c r="F25" i="71"/>
  <c r="G25" i="71"/>
  <c r="H25" i="71"/>
  <c r="G32" i="71"/>
  <c r="K16" i="59"/>
  <c r="K18" i="22"/>
  <c r="K17" i="22"/>
  <c r="K18" i="41"/>
  <c r="K17" i="41"/>
  <c r="K16" i="41"/>
  <c r="K17" i="62"/>
  <c r="D9" i="17"/>
  <c r="E9" i="17"/>
  <c r="C9" i="17"/>
  <c r="D20" i="17"/>
  <c r="E20" i="17"/>
  <c r="C20" i="17"/>
  <c r="D21" i="69"/>
  <c r="I21" i="69"/>
  <c r="E21" i="69"/>
  <c r="F21" i="69"/>
  <c r="H20" i="17"/>
  <c r="I9" i="69"/>
  <c r="G21" i="69"/>
  <c r="F20" i="17"/>
  <c r="G20" i="17"/>
  <c r="I9" i="54"/>
  <c r="D22" i="68"/>
  <c r="F9" i="17"/>
  <c r="G22" i="68"/>
  <c r="I9" i="17"/>
  <c r="D141" i="52"/>
  <c r="E141" i="52"/>
  <c r="K15" i="41"/>
  <c r="K14" i="41"/>
  <c r="K16" i="60"/>
  <c r="J25" i="48"/>
  <c r="I22" i="22"/>
  <c r="K15" i="59"/>
  <c r="K14" i="28"/>
  <c r="I17" i="28"/>
  <c r="K16" i="22"/>
  <c r="I10" i="22"/>
  <c r="K16" i="62"/>
  <c r="K16" i="32"/>
  <c r="J35" i="62"/>
  <c r="L25" i="17"/>
  <c r="K18" i="44"/>
  <c r="K15" i="22"/>
  <c r="K22" i="22"/>
  <c r="K25" i="22"/>
  <c r="M6" i="17"/>
  <c r="K15" i="63"/>
  <c r="I25" i="48"/>
  <c r="I39" i="63"/>
  <c r="E42" i="63"/>
  <c r="C11" i="17"/>
  <c r="D11" i="17"/>
  <c r="E11" i="17"/>
  <c r="E13" i="17"/>
  <c r="E16" i="17"/>
  <c r="E19" i="17"/>
  <c r="E25" i="22"/>
  <c r="I24" i="61"/>
  <c r="E27" i="61"/>
  <c r="I27" i="44"/>
  <c r="E30" i="32"/>
  <c r="K14" i="48"/>
  <c r="K25" i="48"/>
  <c r="K28" i="48"/>
  <c r="M12" i="17"/>
  <c r="K15" i="62"/>
  <c r="J39" i="63"/>
  <c r="I42" i="63"/>
  <c r="J22" i="22"/>
  <c r="I25" i="22"/>
  <c r="J25" i="22"/>
  <c r="L6" i="17"/>
  <c r="J24" i="61"/>
  <c r="I27" i="61"/>
  <c r="J27" i="61"/>
  <c r="L26" i="17"/>
  <c r="J27" i="44"/>
  <c r="I30" i="32"/>
  <c r="I9" i="51"/>
  <c r="G76" i="51"/>
  <c r="I13" i="44"/>
  <c r="G30" i="44"/>
  <c r="I7" i="17"/>
  <c r="E12" i="17"/>
  <c r="E5" i="17"/>
  <c r="D12" i="17"/>
  <c r="D5" i="17"/>
  <c r="D21" i="17"/>
  <c r="D8" i="17"/>
  <c r="D27" i="17"/>
  <c r="D34" i="17"/>
  <c r="C12" i="17"/>
  <c r="C5" i="17"/>
  <c r="C13" i="17"/>
  <c r="D13" i="17"/>
  <c r="I20" i="59"/>
  <c r="E23" i="59"/>
  <c r="J20" i="59"/>
  <c r="I23" i="59"/>
  <c r="K17" i="61"/>
  <c r="K24" i="61"/>
  <c r="K27" i="61"/>
  <c r="M26" i="17"/>
  <c r="M24" i="17"/>
  <c r="C26" i="17"/>
  <c r="C24" i="17"/>
  <c r="D26" i="17"/>
  <c r="D24" i="17"/>
  <c r="E26" i="17"/>
  <c r="E24" i="17"/>
  <c r="K14" i="59"/>
  <c r="C23" i="17"/>
  <c r="C8" i="17"/>
  <c r="D23" i="17"/>
  <c r="E23" i="17"/>
  <c r="E8" i="17"/>
  <c r="D23" i="59"/>
  <c r="I10" i="60"/>
  <c r="G23" i="60"/>
  <c r="I22" i="17"/>
  <c r="I20" i="60"/>
  <c r="E23" i="60"/>
  <c r="C22" i="17"/>
  <c r="D22" i="17"/>
  <c r="E22" i="17"/>
  <c r="E21" i="17"/>
  <c r="G30" i="32"/>
  <c r="I19" i="17"/>
  <c r="K15" i="32"/>
  <c r="K27" i="32"/>
  <c r="K30" i="32"/>
  <c r="M19" i="17"/>
  <c r="C19" i="17"/>
  <c r="D19" i="17"/>
  <c r="G62" i="31"/>
  <c r="G65" i="31"/>
  <c r="C18" i="17"/>
  <c r="D18" i="17"/>
  <c r="E18" i="17"/>
  <c r="C16" i="17"/>
  <c r="D16" i="17"/>
  <c r="G20" i="28"/>
  <c r="E20" i="28"/>
  <c r="C14" i="17"/>
  <c r="D14" i="17"/>
  <c r="E14" i="17"/>
  <c r="C7" i="17"/>
  <c r="D7" i="17"/>
  <c r="E7" i="17"/>
  <c r="G25" i="22"/>
  <c r="C6" i="17"/>
  <c r="D6" i="17"/>
  <c r="E6" i="17"/>
  <c r="I20" i="41"/>
  <c r="E23" i="41"/>
  <c r="J20" i="41"/>
  <c r="I23" i="41"/>
  <c r="C4" i="17"/>
  <c r="D4" i="17"/>
  <c r="D3" i="17"/>
  <c r="E4" i="17"/>
  <c r="C21" i="17"/>
  <c r="D30" i="44"/>
  <c r="F7" i="17"/>
  <c r="D62" i="31"/>
  <c r="D30" i="32"/>
  <c r="F30" i="32"/>
  <c r="H19" i="17"/>
  <c r="D23" i="60"/>
  <c r="D27" i="61"/>
  <c r="D42" i="63"/>
  <c r="F30" i="17"/>
  <c r="F16" i="17"/>
  <c r="D20" i="28"/>
  <c r="I51" i="47"/>
  <c r="I28" i="48"/>
  <c r="D76" i="51"/>
  <c r="D28" i="48"/>
  <c r="G30" i="49"/>
  <c r="G49" i="54"/>
  <c r="I32" i="17"/>
  <c r="E28" i="48"/>
  <c r="G12" i="17"/>
  <c r="D30" i="49"/>
  <c r="D36" i="21"/>
  <c r="F5" i="17"/>
  <c r="G14" i="17"/>
  <c r="I6" i="17"/>
  <c r="F12" i="17"/>
  <c r="I18" i="17"/>
  <c r="I13" i="17"/>
  <c r="C3" i="17"/>
  <c r="I62" i="31"/>
  <c r="E30" i="44"/>
  <c r="I92" i="50"/>
  <c r="I76" i="51"/>
  <c r="F23" i="17"/>
  <c r="I141" i="52"/>
  <c r="F26" i="17"/>
  <c r="F24" i="17"/>
  <c r="F22" i="17"/>
  <c r="F18" i="17"/>
  <c r="J20" i="28"/>
  <c r="L14" i="17"/>
  <c r="D23" i="41"/>
  <c r="F4" i="17"/>
  <c r="J30" i="49"/>
  <c r="L13" i="17"/>
  <c r="G19" i="17"/>
  <c r="D25" i="22"/>
  <c r="F6" i="17"/>
  <c r="F3" i="17"/>
  <c r="D49" i="54"/>
  <c r="F32" i="17"/>
  <c r="K11" i="17"/>
  <c r="I30" i="44"/>
  <c r="D35" i="62"/>
  <c r="F28" i="48"/>
  <c r="D51" i="47"/>
  <c r="F11" i="17"/>
  <c r="G21" i="17"/>
  <c r="I49" i="54"/>
  <c r="K32" i="17"/>
  <c r="I14" i="17"/>
  <c r="I12" i="17"/>
  <c r="G18" i="17"/>
  <c r="G6" i="17"/>
  <c r="H12" i="17"/>
  <c r="K18" i="17"/>
  <c r="K16" i="17"/>
  <c r="K21" i="17"/>
  <c r="J62" i="31"/>
  <c r="J92" i="50"/>
  <c r="J76" i="51"/>
  <c r="L17" i="17"/>
  <c r="G16" i="17"/>
  <c r="F92" i="50"/>
  <c r="H16" i="17"/>
  <c r="J49" i="54"/>
  <c r="L32" i="17"/>
  <c r="K7" i="17"/>
  <c r="J30" i="44"/>
  <c r="L7" i="17"/>
  <c r="L18" i="17"/>
  <c r="L16" i="17"/>
  <c r="J34" i="53"/>
  <c r="L29" i="17"/>
  <c r="H15" i="71"/>
  <c r="F28" i="71"/>
  <c r="M20" i="17"/>
  <c r="H21" i="69"/>
  <c r="J20" i="17"/>
  <c r="I20" i="17"/>
  <c r="H20" i="71"/>
  <c r="F34" i="53"/>
  <c r="H29" i="17"/>
  <c r="E8" i="71"/>
  <c r="F8" i="71"/>
  <c r="C31" i="71"/>
  <c r="E16" i="71"/>
  <c r="F16" i="71"/>
  <c r="J51" i="47"/>
  <c r="L11" i="17"/>
  <c r="E3" i="17"/>
  <c r="E10" i="71"/>
  <c r="C17" i="71"/>
  <c r="C11" i="71"/>
  <c r="C30" i="71"/>
  <c r="C35" i="71"/>
  <c r="E18" i="71"/>
  <c r="F18" i="71"/>
  <c r="G19" i="71"/>
  <c r="H19" i="71"/>
  <c r="H18" i="71"/>
  <c r="H17" i="71"/>
  <c r="K40" i="79"/>
  <c r="K49" i="79"/>
  <c r="K71" i="79"/>
  <c r="K60" i="79"/>
  <c r="K88" i="79"/>
  <c r="I49" i="79"/>
  <c r="K29" i="79"/>
  <c r="K36" i="79"/>
  <c r="K22" i="79"/>
  <c r="K25" i="79"/>
  <c r="K8" i="79"/>
  <c r="I79" i="78"/>
  <c r="I35" i="78"/>
  <c r="I19" i="78"/>
  <c r="F19" i="17"/>
  <c r="H34" i="71"/>
  <c r="G33" i="17"/>
  <c r="H23" i="74"/>
  <c r="J33" i="17"/>
  <c r="H32" i="71"/>
  <c r="K26" i="17"/>
  <c r="K24" i="17"/>
  <c r="F27" i="61"/>
  <c r="H26" i="17"/>
  <c r="G26" i="17"/>
  <c r="G24" i="17"/>
  <c r="H24" i="17"/>
  <c r="E14" i="71"/>
  <c r="F14" i="71"/>
  <c r="H14" i="71"/>
  <c r="G5" i="17"/>
  <c r="F36" i="21"/>
  <c r="H5" i="17"/>
  <c r="F35" i="62"/>
  <c r="H25" i="17"/>
  <c r="F19" i="71"/>
  <c r="H34" i="76"/>
  <c r="J10" i="17"/>
  <c r="G10" i="17"/>
  <c r="F34" i="76"/>
  <c r="H10" i="17"/>
  <c r="H25" i="22"/>
  <c r="J6" i="17"/>
  <c r="F25" i="22"/>
  <c r="H6" i="17"/>
  <c r="G11" i="17"/>
  <c r="G17" i="71"/>
  <c r="H16" i="71"/>
  <c r="F22" i="68"/>
  <c r="H9" i="17"/>
  <c r="G9" i="17"/>
  <c r="H22" i="68"/>
  <c r="J9" i="17"/>
  <c r="F9" i="71"/>
  <c r="K6" i="17"/>
  <c r="F23" i="60"/>
  <c r="H22" i="17"/>
  <c r="H23" i="60"/>
  <c r="J22" i="17"/>
  <c r="G22" i="17"/>
  <c r="H33" i="71"/>
  <c r="H31" i="71"/>
  <c r="G31" i="71"/>
  <c r="F49" i="54"/>
  <c r="H32" i="17"/>
  <c r="G32" i="17"/>
  <c r="F42" i="63"/>
  <c r="H30" i="17"/>
  <c r="G30" i="17"/>
  <c r="K30" i="17"/>
  <c r="J42" i="63"/>
  <c r="L30" i="17"/>
  <c r="J23" i="60"/>
  <c r="L22" i="17"/>
  <c r="I16" i="17"/>
  <c r="G13" i="71"/>
  <c r="H13" i="71"/>
  <c r="F13" i="71"/>
  <c r="K19" i="68"/>
  <c r="K22" i="68"/>
  <c r="M9" i="17"/>
  <c r="K27" i="44"/>
  <c r="K30" i="44"/>
  <c r="M7" i="17"/>
  <c r="K33" i="21"/>
  <c r="K36" i="21"/>
  <c r="M5" i="17"/>
  <c r="F7" i="71"/>
  <c r="F6" i="71"/>
  <c r="E7" i="71"/>
  <c r="E6" i="71"/>
  <c r="H7" i="71"/>
  <c r="G10" i="71"/>
  <c r="G6" i="71"/>
  <c r="J22" i="68"/>
  <c r="L9" i="17"/>
  <c r="K9" i="17"/>
  <c r="I13" i="47"/>
  <c r="G51" i="47"/>
  <c r="F13" i="17"/>
  <c r="K12" i="17"/>
  <c r="J28" i="48"/>
  <c r="L12" i="17"/>
  <c r="K20" i="59"/>
  <c r="K23" i="59"/>
  <c r="M23" i="17"/>
  <c r="H28" i="71"/>
  <c r="H76" i="51"/>
  <c r="H30" i="32"/>
  <c r="J19" i="17"/>
  <c r="F76" i="51"/>
  <c r="H17" i="17"/>
  <c r="F62" i="31"/>
  <c r="H18" i="17"/>
  <c r="H62" i="31"/>
  <c r="J18" i="17"/>
  <c r="F21" i="17"/>
  <c r="F8" i="17"/>
  <c r="J34" i="76"/>
  <c r="L10" i="17"/>
  <c r="K20" i="17"/>
  <c r="J21" i="69"/>
  <c r="L20" i="17"/>
  <c r="E12" i="71"/>
  <c r="F12" i="71"/>
  <c r="G12" i="71"/>
  <c r="H12" i="71"/>
  <c r="K89" i="50"/>
  <c r="K92" i="50"/>
  <c r="M16" i="17"/>
  <c r="K19" i="17"/>
  <c r="J30" i="32"/>
  <c r="L19" i="17"/>
  <c r="H49" i="54"/>
  <c r="J32" i="17"/>
  <c r="H36" i="21"/>
  <c r="J5" i="17"/>
  <c r="H42" i="63"/>
  <c r="J30" i="17"/>
  <c r="F10" i="71"/>
  <c r="C6" i="71"/>
  <c r="F30" i="49"/>
  <c r="H13" i="17"/>
  <c r="J141" i="52"/>
  <c r="L21" i="17"/>
  <c r="F30" i="44"/>
  <c r="H7" i="17"/>
  <c r="G7" i="17"/>
  <c r="H30" i="44"/>
  <c r="J7" i="17"/>
  <c r="F20" i="28"/>
  <c r="H14" i="17"/>
  <c r="H20" i="28"/>
  <c r="J14" i="17"/>
  <c r="F14" i="17"/>
  <c r="K32" i="62"/>
  <c r="K35" i="62"/>
  <c r="F141" i="52"/>
  <c r="H21" i="17"/>
  <c r="E31" i="71"/>
  <c r="E20" i="71"/>
  <c r="F20" i="71"/>
  <c r="F17" i="71"/>
  <c r="F26" i="71"/>
  <c r="G26" i="71"/>
  <c r="H26" i="71"/>
  <c r="K48" i="47"/>
  <c r="K51" i="47"/>
  <c r="M11" i="17"/>
  <c r="K73" i="51"/>
  <c r="K76" i="51"/>
  <c r="F11" i="71"/>
  <c r="L15" i="17"/>
  <c r="H15" i="17"/>
  <c r="E17" i="71"/>
  <c r="E11" i="71"/>
  <c r="I11" i="17"/>
  <c r="H51" i="47"/>
  <c r="J11" i="17"/>
  <c r="H10" i="71"/>
  <c r="H6" i="71"/>
  <c r="F23" i="41"/>
  <c r="H4" i="17"/>
  <c r="I29" i="17"/>
  <c r="I28" i="17"/>
  <c r="H34" i="53"/>
  <c r="J29" i="17"/>
  <c r="J28" i="17"/>
  <c r="I26" i="17"/>
  <c r="H27" i="61"/>
  <c r="J26" i="17"/>
  <c r="J24" i="17"/>
  <c r="H29" i="71"/>
  <c r="H27" i="71"/>
  <c r="C27" i="71"/>
  <c r="E29" i="71"/>
  <c r="E27" i="71"/>
  <c r="E30" i="71"/>
  <c r="E35" i="71"/>
  <c r="L24" i="17"/>
  <c r="C27" i="17"/>
  <c r="C34" i="17"/>
  <c r="E27" i="17"/>
  <c r="E34" i="17"/>
  <c r="I25" i="17"/>
  <c r="I24" i="17"/>
  <c r="K23" i="17"/>
  <c r="J23" i="59"/>
  <c r="L23" i="17"/>
  <c r="G23" i="17"/>
  <c r="G8" i="17"/>
  <c r="F23" i="59"/>
  <c r="H23" i="17"/>
  <c r="H23" i="59"/>
  <c r="J23" i="17"/>
  <c r="K8" i="17"/>
  <c r="J36" i="21"/>
  <c r="L5" i="17"/>
  <c r="K4" i="17"/>
  <c r="K3" i="17"/>
  <c r="J23" i="41"/>
  <c r="L4" i="17"/>
  <c r="K20" i="41"/>
  <c r="K23" i="41"/>
  <c r="M4" i="17"/>
  <c r="M3" i="17"/>
  <c r="G4" i="17"/>
  <c r="G3" i="17"/>
  <c r="H23" i="41"/>
  <c r="J4" i="17"/>
  <c r="J3" i="17"/>
  <c r="F29" i="71"/>
  <c r="F27" i="71"/>
  <c r="F30" i="71"/>
  <c r="F35" i="71"/>
  <c r="L3" i="17"/>
  <c r="G27" i="17"/>
  <c r="G34" i="17"/>
  <c r="H3" i="17"/>
  <c r="L8" i="17"/>
  <c r="I21" i="17"/>
  <c r="I8" i="17"/>
  <c r="I27" i="17"/>
  <c r="I34" i="17"/>
  <c r="H141" i="52"/>
  <c r="J21" i="17"/>
  <c r="J8" i="17"/>
  <c r="J27" i="17"/>
  <c r="J34" i="17"/>
  <c r="H8" i="17"/>
  <c r="F27" i="17"/>
  <c r="F34" i="17"/>
  <c r="H34" i="17"/>
  <c r="K27" i="17"/>
  <c r="G11" i="71"/>
  <c r="G30" i="71"/>
  <c r="G35" i="71"/>
  <c r="L27" i="17"/>
  <c r="K34" i="17"/>
  <c r="L34" i="17"/>
  <c r="H27" i="17"/>
</calcChain>
</file>

<file path=xl/sharedStrings.xml><?xml version="1.0" encoding="utf-8"?>
<sst xmlns="http://schemas.openxmlformats.org/spreadsheetml/2006/main" count="3265" uniqueCount="1207">
  <si>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</si>
  <si>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</si>
  <si>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</si>
  <si>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</si>
  <si>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</si>
  <si>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</si>
  <si>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</si>
  <si>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</si>
  <si>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</si>
  <si>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</si>
  <si>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</si>
  <si>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</si>
  <si>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</si>
  <si>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</si>
  <si>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</si>
  <si>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</si>
  <si>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</si>
  <si>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</si>
  <si>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</si>
  <si>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</si>
  <si>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</si>
  <si>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</si>
  <si>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</si>
  <si>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</si>
  <si>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</si>
  <si>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</si>
  <si>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</si>
  <si>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</si>
  <si>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</si>
  <si>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</si>
  <si>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</si>
  <si>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</si>
  <si>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</si>
  <si>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</si>
  <si>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</si>
  <si>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</si>
  <si>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</si>
  <si>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</si>
  <si>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</si>
  <si>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</si>
  <si>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</si>
  <si>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</si>
  <si>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</si>
  <si>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</si>
  <si>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</si>
  <si>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</si>
  <si>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</si>
  <si>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</si>
  <si>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</si>
  <si>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</si>
  <si>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</si>
  <si>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</si>
  <si>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</si>
  <si>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</si>
  <si>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</si>
  <si>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</si>
  <si>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</si>
  <si>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</si>
  <si>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</si>
  <si>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</si>
  <si>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</si>
  <si>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</si>
  <si>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</si>
  <si>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</si>
  <si>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</si>
  <si>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</si>
  <si>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</si>
  <si>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</si>
  <si>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</si>
  <si>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</si>
  <si>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</si>
  <si>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</si>
  <si>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</si>
  <si>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</si>
  <si>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</si>
  <si>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</si>
  <si>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</si>
  <si>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</si>
  <si>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</si>
  <si>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</si>
  <si>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</si>
  <si>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</si>
  <si>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</si>
  <si>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</si>
  <si>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</si>
  <si>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</si>
  <si>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</si>
  <si>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</si>
  <si>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</si>
  <si>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</si>
  <si>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</si>
  <si>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</si>
  <si>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IDIRECTOS - HONORARIOS ENTIDAD</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</si>
  <si>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</si>
  <si>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</si>
  <si>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</si>
  <si>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</si>
  <si>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</si>
  <si>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</si>
  <si>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</si>
  <si>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</si>
  <si>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</si>
  <si>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</si>
  <si>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</si>
  <si>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</si>
  <si>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</si>
  <si>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</si>
  <si>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</si>
  <si>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</si>
  <si>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</si>
  <si>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</si>
  <si>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</si>
  <si>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</si>
  <si>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</si>
  <si>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</si>
  <si>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</si>
  <si>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</si>
  <si>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</si>
  <si>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</si>
  <si>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</si>
  <si>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</si>
  <si>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</si>
  <si>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</si>
  <si>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</si>
  <si>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</si>
  <si>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</si>
  <si>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</si>
  <si>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</si>
  <si>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</si>
  <si>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</si>
  <si>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</si>
  <si>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</si>
  <si>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</si>
  <si>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</si>
  <si>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</si>
  <si>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</si>
  <si>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</si>
  <si>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</si>
  <si>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</si>
  <si>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</si>
  <si>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</si>
  <si>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</si>
  <si>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</si>
  <si>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</si>
  <si>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</si>
  <si>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</si>
  <si>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</si>
  <si>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</si>
  <si>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</si>
  <si>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CODENSA S. A. ESP</t>
  </si>
  <si>
    <t>EMPRESA DE ACUEDUCTO ALCANTARILLADO Y ASEO DE BOGOTA ESP</t>
  </si>
  <si>
    <t>TELMEX COLOMBIA  S A</t>
  </si>
  <si>
    <t>REMUNERACION SERVICIOS TÉCNICOS</t>
  </si>
  <si>
    <t>3.1.1.02.04</t>
  </si>
  <si>
    <t>REMUNERACION SERVICIOS TECNICOS</t>
  </si>
  <si>
    <t>3.1.5</t>
  </si>
  <si>
    <t>PASIVOS EXIGIBLES</t>
  </si>
  <si>
    <t>+</t>
  </si>
  <si>
    <t>EMPRESA DE TELECOMUNICACIONES DE BOGOTA SA ESP</t>
  </si>
  <si>
    <t>DIRECTOR ADMINISTRATIVA</t>
  </si>
  <si>
    <t>SERVICIO DE TELEVISION POR CABLE PARA LAS DEPENDENCIAS DEL NIVEL CENTRAL DE LA SDG</t>
  </si>
  <si>
    <t>SERVICIO DE CELULAR PARA LOS DIRECTIVOS DEL NIVEL CENTRAL DE LA SDG</t>
  </si>
  <si>
    <t>PAGO SERVICIO DE AVANTEL PARA LAS DEPENDENCIAS DEL NIVEL CENTRAL</t>
  </si>
  <si>
    <t>DIRECCION ADMINISTRATIVA</t>
  </si>
  <si>
    <t>SERVICIO PUBLICO DE ENERGIA PARA LAS DEPENDENCIAS DEL NIVEL CENTRAL DE LA SDG</t>
  </si>
  <si>
    <t>DIRECCIÓN ADMINISTRATIVA</t>
  </si>
  <si>
    <t>SERVICIO PUBLICO DE ACUEDUCTO Y ALCANTARILLADO PARA LAS DEPENDENCIAS DEL NIVEL CNETRAL DE LA SDG</t>
  </si>
  <si>
    <t>SERVICIO PUBLICO DE ASEO PARA LAS DEPENDENCIAS DEL NIVEL CENTRAL DE LA ENTIDAD</t>
  </si>
  <si>
    <t>SERVICIO PUBLICO DE TELEFONO PARA LAS DEPENDENCIAS DEL NIVEL CENTRAL DE LA SDG</t>
  </si>
  <si>
    <t>C.ARREN N° 5</t>
  </si>
  <si>
    <t xml:space="preserve">ARRENDAMIENTO A LA SECRETARÍA DISTRITAL DE GOBIERNO, EL USO Y GOCE DEL INMUEBLE UBICADO Y CON LA NOMENCLATURA EN LA CARRERA 75 NO. 23 F-07 </t>
  </si>
  <si>
    <t>OFELIA  RAMOS DE VARGAS</t>
  </si>
  <si>
    <t>ADICION Y PRORROGA NO. 1 CONTRATO INTERADMINISTRATIVO 065 DE 2016</t>
  </si>
  <si>
    <t>C.INTER N° 65-16</t>
  </si>
  <si>
    <t>SERVICIOS POSTALES NACIONALES S A</t>
  </si>
  <si>
    <t>FACTURA 441447397</t>
  </si>
  <si>
    <t>FACTURA DE VENTA DE LA EMPRESA TELMEX</t>
  </si>
  <si>
    <t>C.P.S. 614-16</t>
  </si>
  <si>
    <t>ADICION Y PRORROGA CONTRATO DE PRESTACION DE SERVICIOS NO. 614 DE 2016</t>
  </si>
  <si>
    <t>COMPAÑIA ANDINA DE SEGURIDAD PRIVADA LTDA. - ANDISEG LTDA</t>
  </si>
  <si>
    <t>FACTURA 4523932770</t>
  </si>
  <si>
    <t>FACTURA DE SERVICIOS PUBLICOS DE CODENSA S.A</t>
  </si>
  <si>
    <t>FACTURA 4546487252</t>
  </si>
  <si>
    <t>FACTURAS 3639079817</t>
  </si>
  <si>
    <t xml:space="preserve">FACTURA DE LA EMPRESA DE ACUEDUCTO, ALCANTARILLADO Y ASEO DE BOGOTA E.S.P. </t>
  </si>
  <si>
    <t>FACTURAS 231728377</t>
  </si>
  <si>
    <t>FACTURA DE SERVICIOS PUBLICOS DE LA E.T.B. S.A</t>
  </si>
  <si>
    <t>RA 01</t>
  </si>
  <si>
    <t>NOMINA ENERO</t>
  </si>
  <si>
    <t>RA 02</t>
  </si>
  <si>
    <t>NOMINA EXTRA ENERO</t>
  </si>
  <si>
    <t>RA 03</t>
  </si>
  <si>
    <t>APORTES PAFISCALES ENERO</t>
  </si>
  <si>
    <t>APERTURA DE CAJA MENOR DE LA DIRECCION ADMINISTRATIVA</t>
  </si>
  <si>
    <t xml:space="preserve">LA PRESTACIÓN DEL SERVICIO INTEGRAL DE ASEO Y CAFETERÍA </t>
  </si>
  <si>
    <t>DIREECIÓN ADMINISTRATIVA</t>
  </si>
  <si>
    <t>SALDO</t>
  </si>
  <si>
    <t>FACTURA 443980690</t>
  </si>
  <si>
    <t>FACTURA 2670916</t>
  </si>
  <si>
    <t xml:space="preserve">FACTURA DE VENTA DE LA EMPRESA TELMEX COLOMBIA S.A. </t>
  </si>
  <si>
    <t>COMPRA DE 8 EQUIPOS AVANTEL -I465 BLACK</t>
  </si>
  <si>
    <t>AVANTEL S A S</t>
  </si>
  <si>
    <t>FACTURA 39939010</t>
  </si>
  <si>
    <t xml:space="preserve">FACTURA 4579578330
</t>
  </si>
  <si>
    <t>FACTURA 4562112791</t>
  </si>
  <si>
    <t>FACTURA 457325708</t>
  </si>
  <si>
    <t>FACTURA 4572749983</t>
  </si>
  <si>
    <t>FACTURA DE SERVICIOS PUBLICOS DE CODENSA S.A. ESP N°</t>
  </si>
  <si>
    <t xml:space="preserve">FACTURA DE SERVICIOS PUBLICOS DE CODENSA S.A. ESP </t>
  </si>
  <si>
    <t>SERVICIO PUBLICO DE ENERGIA PARA EL PREDIO CON NOMENCLATURA CL 46 NO. 14-22PERIODO FACTURADO 28 DICIEMBRE AL 27 DE ENERO DE 2017</t>
  </si>
  <si>
    <t>FACTURAS 233574877</t>
  </si>
  <si>
    <t>PAGO SENTENCIA</t>
  </si>
  <si>
    <t>MARIA DEL PILAR RUIZ PINILLA</t>
  </si>
  <si>
    <t xml:space="preserve">RECONOCIMIENTO Y PAGO DEL SERVICIO EXTRA PRESTADO POR LOS DELEGADOS  MES DE ENERO DE 2017 </t>
  </si>
  <si>
    <t>RESOL - 156</t>
  </si>
  <si>
    <t xml:space="preserve">RECONOCIMIENTO Y PAGO DEL SERVICIO EXTRA PRESTADO POR LOS DELEGADOS MES DE DICIEMBRE DE 2016 </t>
  </si>
  <si>
    <t>RA 07</t>
  </si>
  <si>
    <t>NOMINA FEBRERO</t>
  </si>
  <si>
    <t>RA 04</t>
  </si>
  <si>
    <t>APORTES PARAFISCALES DE UNOS FUNCIONARIOS RETIRADOS</t>
  </si>
  <si>
    <t>RA 05</t>
  </si>
  <si>
    <t>PAGO DE APORTES PATRONALES Y PARAFISCALES POR EL INGRESO DE UNA FUNCIONARIA</t>
  </si>
  <si>
    <t>RA 06</t>
  </si>
  <si>
    <t>PAGO DE LA AUTOLIQUIDACIÓN DE LA NÓMINA GENERAL DEL MES DE ENERO DE 2017.</t>
  </si>
  <si>
    <t>RA 09</t>
  </si>
  <si>
    <t>PAGO DE LA AUTOLIQUIDACIÓN DE LA NÓMINA GENERAL DE FEBRERO DE 2017</t>
  </si>
  <si>
    <t>RA 10</t>
  </si>
  <si>
    <t>PAGO DE APORTES PATRONALES Y PARAFISCALES A FUNCIONARIOS RETIRADOS DE LA ENTIDAD</t>
  </si>
  <si>
    <t>RA 11</t>
  </si>
  <si>
    <t>PAGO DE APORTES PATRONALES DE VÍCTOR MARIO GASCA HURTADO POR EL MES DE FEBRERO DE 2017</t>
  </si>
  <si>
    <t>RA 12</t>
  </si>
  <si>
    <t>PAGO DE LA AUTOLIQUIDACIÓN DE  LA NÓMINA ADICIONAL QUE INCLUYÓ EL PAGO DEL RETROACTIVO DE 2017</t>
  </si>
  <si>
    <t xml:space="preserve">PAGO DE APORTES PATRONALES Y PARAFISCALES DEL SEÑOR EDDY BERMUDEZ MARCELIN POR INGRESO A LA ENTIDAD </t>
  </si>
  <si>
    <t>RA 08</t>
  </si>
  <si>
    <t>PAGO DE CESANTÍAS E INTERESES DE CESANTÍAS A FUNCIONARIOS QUE SE RETIRAN DE LA ENTIDAD</t>
  </si>
  <si>
    <t>FACTURA 4592467079</t>
  </si>
  <si>
    <t>FACTURA 4579686331</t>
  </si>
  <si>
    <t>FACTURA 4588217483</t>
  </si>
  <si>
    <t>FACTURA 4595863320</t>
  </si>
  <si>
    <t>FACTURA 4606545340</t>
  </si>
  <si>
    <t>ASOCIACION DE USUARIOS DE ACUEDUCTO ALCANTARILLADO Y ASEO PASQUILLA A.A.P.C.</t>
  </si>
  <si>
    <t>FACTURA 3666252519</t>
  </si>
  <si>
    <t>FACTURA 7173</t>
  </si>
  <si>
    <t>FACTURA 3666276617</t>
  </si>
  <si>
    <t>FACTURA 3666276815</t>
  </si>
  <si>
    <t>FACTURA 3666277110</t>
  </si>
  <si>
    <t>FACTURA 3666276518</t>
  </si>
  <si>
    <t>FACTURA 5727703018</t>
  </si>
  <si>
    <t>FACTURA 3666245216</t>
  </si>
  <si>
    <t>FACTURA 3666245117</t>
  </si>
  <si>
    <t>FACTURA 3666316512</t>
  </si>
  <si>
    <t>FACTURA 7098705416</t>
  </si>
  <si>
    <t>FACTURA 5040764614</t>
  </si>
  <si>
    <t>FACTURA 6412780816</t>
  </si>
  <si>
    <t>FACTURA 5727027517</t>
  </si>
  <si>
    <t>FACTURA 7783979714</t>
  </si>
  <si>
    <t>FACTURA 4350552917</t>
  </si>
  <si>
    <t>FACTURA 7783975118</t>
  </si>
  <si>
    <t>FACTURA 12192854</t>
  </si>
  <si>
    <t>FACTURA 2658400391</t>
  </si>
  <si>
    <t>FACTURA 9138659512</t>
  </si>
  <si>
    <t>RESOL 52</t>
  </si>
  <si>
    <t>INCENTIVO DE AUXILIO PARA EDUCACIÓN FORMAL A LOS SERVIDORES PÚBLICOS VASQUEZ GALLEGO SANDRA YANETH CON C.C. 52.061.681</t>
  </si>
  <si>
    <t>INCENTIVO DE AUXILIO PARA EDUCACIÓN FORMAL A LOS SERVIDORES PÚBLICOS ACEVEDO DÁVILA LUZ STELLA CON C.C. 35.513.829</t>
  </si>
  <si>
    <t>INCENTIVO DE AUXILIO PARA EDUCACIÓN FORMAL A LOS SERVIDORES PÚBLICOS LEON VARGAS EDISON CON C.C. 80.729.485</t>
  </si>
  <si>
    <t>CORPORACION UNIVERSITARIA REPUBLICANA</t>
  </si>
  <si>
    <t>UNIVERSIDAD LA GRAN COLOMBIA</t>
  </si>
  <si>
    <t>UNIVERSIDAD CATOLICA DE COLOMBIA</t>
  </si>
  <si>
    <t>POLITECNICO GRANCOLOMBIANO</t>
  </si>
  <si>
    <t>FUNDACION UNIVERSIDAD DE BOGOTA JORGE TADEO LOZANO</t>
  </si>
  <si>
    <t>INCENTIVO DE AUXILIO PARA EDUCACIÓN FORMAL A LOS SERVIDORES PÚBLICOS CRUZ LEÓN JOSÉ RICARDO  CON C.C. 79.432.961</t>
  </si>
  <si>
    <t>INCENTIVO DE AUXILIO PARA EDUCACIÓN FORMAL A LOS SERVIDORES PÚBLICOS  RUANO VIVEROS HAMES ANDRÉS CON C.C. 76.329.466</t>
  </si>
  <si>
    <t>INCENTIVO DE AUXILIO PARA EDUCACIÓN FORMAL A LOS SERVIDORES PÚBLICOS SANABRIA DUEÑAS YULI ANDREA CON C.C. 53.093.019</t>
  </si>
  <si>
    <t>RESOL - 179</t>
  </si>
  <si>
    <t>RA 15</t>
  </si>
  <si>
    <t>PAGO DE DIFERENCIAS EN LA AUTOLIQUIDACION DEL DOCTOR EDDY BERMUDEZ POR CAMBIO EN POLÍTICA DE REDONDEOS DEL SISTEMA GENERAL DE SEGURIDAD SOCIAL.</t>
  </si>
  <si>
    <t>RA 14</t>
  </si>
  <si>
    <t>LADOINSA LABORES DOTACIONES INDUSTRIALES SAS</t>
  </si>
  <si>
    <t>FACTURA 446545445</t>
  </si>
  <si>
    <t>FACTURA DE VENTA DE LA EMPRESA TELMEX COLOMBIA S.A. N°. 446545445SERVICIO DE TELEVISION POR CABLE DEL EDIFICIO BICENTENARIO DE LA SECRETARIA DISTRITAL DE GOBIERNOPERIODO FACTURADO DEL 02 DE MARZO AL 01 DE ABRIL DE 2017</t>
  </si>
  <si>
    <t>COLOMBIA MOVIL S A E S P</t>
  </si>
  <si>
    <t>O.C. 312</t>
  </si>
  <si>
    <t>MANTENIMIENTO PREVENTIVO Y CORRECTIVO (MANO DE OBRA) CON SUMINISTRO DE INSUMOS, REPUESTOS ORIGINALES, NUEVOS Y ATENCIÓN DE EMERGENCIAS PARA EL ASCENSOR MARCA SIGMA EN EL EDIFICIO BICENTENARIO PRIMERA ETAPA UBICADO EN LA CALLE 11 NO.8-17 DE LA SECRETARÍA DISTRITAL DE GOBIERNO</t>
  </si>
  <si>
    <t>FACTURA 4613413080</t>
  </si>
  <si>
    <t>FACTURA 1608570347</t>
  </si>
  <si>
    <t>FACTURA 4613521188</t>
  </si>
  <si>
    <t>FACTURA 1609190192</t>
  </si>
  <si>
    <t>FACTURA 4581771346</t>
  </si>
  <si>
    <t>FACTURA 234566488</t>
  </si>
  <si>
    <t>FACTURA DE SERVICIOS PUBLICOS DE LA E.T.B. S.A. ESP, N°. 000234566488SERVICIO DE TELEFONIA LOCAL, LARGA DISTANCIA, INTERNET Y DATOS, ALIANZAS ETB Y OTROS OPERADORES DE LAS DEPENDENCIAS DE LA SECRETARIA DISTRITAL DE GOBIERNOPERIODO DE CONSUMO FEBRERO 01 AL 28 DE 2017</t>
  </si>
  <si>
    <t>RESOL 83</t>
  </si>
  <si>
    <t>INCENTIVO DE AUXILIO PARA EDUCACIÓN FORMAL A LOS SERVIDORES PÚBLICOS MERCHAN VELASQUEZ LILIANA PAOLA CON C.C. 52.901.949</t>
  </si>
  <si>
    <t>INCENTIVO DE AUXILIO PARA EDUCACIÓN FORMAL A LOS SERVIDORES PÚBLICOSSARMIENTO MORENO NUBIA LILIANA CON C.C. 52.349.483</t>
  </si>
  <si>
    <t>INCENTIVO DE AUXILIO PARA EDUCACIÓN FORMAL A LOS SERVIDORES PÚBLICOS VALENZUELA RAMOS DEYANIRA CON C.C. 40.077.711</t>
  </si>
  <si>
    <t>INCENTIVO DE AUXILIO PARA EDUCACIÓN FORMAL A LOS SERVIDORES PÚBLICOS VANEGAS MOSCOSO CESAR AUGUSTO CON C.C. 9.652.614</t>
  </si>
  <si>
    <t>CORPORACION UNIVERSIDAD LIBRE</t>
  </si>
  <si>
    <t>UNIVERSIDAD EAN</t>
  </si>
  <si>
    <t>NOMINA MARZO</t>
  </si>
  <si>
    <t>RA 16</t>
  </si>
  <si>
    <t>RESOL- 210</t>
  </si>
  <si>
    <t>RECONOCIMIENTO Y PAGO DEL SERVICIO EXTRA PRESTADO POR LOS DELEGADOS  MES DE FEBRERO DE 2017 Y DEL TIEMPO EXCEDIDO DURANTE EL SERVICIO</t>
  </si>
  <si>
    <t>RA 17</t>
  </si>
  <si>
    <t>PAGO DE CESANTÍAS FONDOS PÚBLICOS Y PRIVADOS A DOS FUNCIONARIOS RETIRADOS DE LA ENTIDAD.</t>
  </si>
  <si>
    <t>DIRECCIÓN DE GESTIÓN DEL TALENTO HUMANO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</si>
  <si>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</si>
  <si>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DIRECTOR DE TECNOLOGIA  E INFORMACIÓN</t>
  </si>
  <si>
    <t>REALIZAR LA ADICIÓN Y PRORROGA DEL CONTRATO NO. 780 DE 2016 SUSCRITO ENTRE LA SECRETARÍA DISTRITAL DE GOBIERNO Y LA UNION TEMPORAL DESCA PRICELESS</t>
  </si>
  <si>
    <t>C.P.S. 780</t>
  </si>
  <si>
    <t>UNION TEMPORAL DESCA  PRICELESS</t>
  </si>
  <si>
    <t>FACTURA 51603693</t>
  </si>
  <si>
    <t>FACTURA 23315</t>
  </si>
  <si>
    <t>FACTURA 449625995</t>
  </si>
  <si>
    <t>C.P.S. 884-16</t>
  </si>
  <si>
    <t>SERVICIO DE TELEVISION POR CABLE PARA EL PREDIO CON NOMENCLATURA CALLE 11 8 17 NIVEL CENTRAL DE LA SDGPERIODO FACTURADO 2 DE ABRIL AL 01 DE MAYO DE 2017FACTURA DE VENTA NO. 449625995VALOR TOTAL A PAGAR  $ 62.092</t>
  </si>
  <si>
    <t>ADICION NO. 1 Y PRORROGA NO. 02  NO. 884 DE 2016</t>
  </si>
  <si>
    <t>TELEVISION POR CABLE PARA EL PREDIO CON NOMENCLATURA CL 11 8-17 P 2CONSUMO DE PAQUETE DE TELEVISION PLAN BRONCE MAXPERIODO FACTURADO 23 DE MARZO AL 11 DE ABRIL POR $52.547MES ANTICIPADO 12 DE ABRIL AL 11 DE MAYO DE 2017 POR $ 102.600</t>
  </si>
  <si>
    <t>CELULAR PARA LOS DIRECTIVOS DEL NIVEL CENTRAL DE LA SDGSERVICIO DE VOZ Y DATOOS DE LOS SIGUIENTES PERIODOS.PERIODO FACTURADO 2016/10/05 A 2016/11/04 POR $ 3.278.401PERIODO FACTURADO 2016/11/05 AL 2016/12/07 POR VALOR DE $ 3.278.401PERIODO FACTURADO 2016/12/05 AL 2017/01/04   POR VALOR DE $2.874.491PERIODO FACTURADO 2017/01/05 AL 2017/02/04  POR VALOR DE $ 2.870.543PERIODO FACTURADO :  2017/02/05  AL 2017/03/04  POR VALOR DE  $ 2.870.543OTROS CARGOS  POR VALOR DE  $ 66.834VALOR TOTAL A PAGAR   $ 18.325.395</t>
  </si>
  <si>
    <t>TRANSPORTES ESPECIALES F.S.G S.A.S</t>
  </si>
  <si>
    <t>DIRECTV COLOMBIA LTDA</t>
  </si>
  <si>
    <t>C.P.S. 392</t>
  </si>
  <si>
    <t xml:space="preserve">SERVICIO DE VIGILANCIA Y SEGURIDAD PRIVADA EN LAS MODALIDADES DE VIGILANCIA FIJA Y MÓVIL CON Y SIN ARMAS Y MEDIOS TECNOLÓGICOS EN LAS DIFERENTES DEPENDENCIAS DE LA SECRETARÍA DISTRITAL DE GOBIERNO DE BOGOTÁ, D.C., </t>
  </si>
  <si>
    <t>SEGURIDAD NUEVA ERA LTDA</t>
  </si>
  <si>
    <t>FACTURA 4622372593</t>
  </si>
  <si>
    <t>FACTURA 4627003092</t>
  </si>
  <si>
    <t>FACTURA 4630299125</t>
  </si>
  <si>
    <t>FACTURA 4648168599</t>
  </si>
  <si>
    <t>FACTURA 4641901472</t>
  </si>
  <si>
    <t>FACTURA 4648276713</t>
  </si>
  <si>
    <t>COMPROBANTE 1610497613</t>
  </si>
  <si>
    <t>FACTURA 7381</t>
  </si>
  <si>
    <t>FACTURA 235735310</t>
  </si>
  <si>
    <t>SERVICIO  DE TELEFONIA FIJA PARA LAS DEPENDENCIAS DEL NIVEL CENTRAL DE LA SDG.PERIODO DE CONSUMO MARZO 1 AL 31 DE 2017FACTURA DE SERVICIOS PUBLICOS NO.  00235735310VALOR TOTAL A PAGAR  $ 16.673.140</t>
  </si>
  <si>
    <t>CORPORACION UNIVERSITARIA MINUTO DE DIOS - UNIMINUTO</t>
  </si>
  <si>
    <t>FUNDACION UNIVERSIDAD EXTERNADO DE COLOMBIA</t>
  </si>
  <si>
    <t>RESOL 100</t>
  </si>
  <si>
    <t xml:space="preserve">INCENTIVO DE AUXILIO PARA EDUCACION FORMAL  A  LOS SERVIDORES PUBLICOS CUYA EVALUACION DEL DESEMPEÑO CORRESPONDE AL NIVEL SOBRESALIENTE, PALACIOS RAMIREZ ERLY,   </t>
  </si>
  <si>
    <t>INCENTIVO DE AUXILIO PARA EDUCACION FORMAL  A  LOS SERVIDORES PUBLICOS CUYA EVALUACION DEL DESEMPEÑO CORRESPONDE AL NIVEL SOBRESALIENTE,  DELGADO AGUILAR CESAR AUGUSTO</t>
  </si>
  <si>
    <t>INCENTIVO DE AUXILIO PARA EDUCACION FORMAL  A  LOS SERVIDORES PUBLICOS CUYA EVALUACION DEL DESEMPEÑO CORRESPONDE AL NIVEL SOBRESALIENTE, BARAHONA DIAZ FREDY GILBERTO</t>
  </si>
  <si>
    <t>PAGO SENTENCIA JUDICIAL NULIDAD Y RESTABLECIMIENTO DEL DERECHO NO 2013-0108 ANDRES FELIPE PATIÑO DUQUEARTICULO 2°.  ORDENESE A LA DIRECCION FINANCIERA DE LA SECRETARIA DISTRITAL DE GBIERNO PAGAR LA SUMA NETA DE TRES MILLONES TRESCIENTOS TRECE MIL SETECIENTOS CUARENTA Y DOS PESOS  ($3.313.742,00) M/CTE., CONSIGNANDOLE A LA CUENTA DE AHORROS NO. 24501263944 DEL BANCO CAJA SOCIAL A NOMBRE DE JAIRO SARMIENTO PATARROYO,  IDENTIFICADO CON CEDULA DE CIUDADANIA NO. 19.191.989,  POR CONCEPTO DE LA SENTENCIA A QUE SE REFIERE EL ARTICULO 1° DE LA PRESENTE RESOLUCION,  DE CONFORMIDAD CON EL PODER CONFERIDO POR EL SEÑOR ANDRES FELIPE PATIÑO DUQUE.</t>
  </si>
  <si>
    <t>PAGO SENTENCIA JUDICIAL NULIDAD Y RESTABLECIMIENTO DEL DERECHO NO 2013-0108 ANDRES FELIPE PATIÑO DUQUE.ARTICULO 3°.  ORDENESE A LA DIRECCION FINANCIERA DE LA SECRETARIA DISTRITAL DE GOBIERNO PAGAR LA SUMA DE DIEZ MILLONES QUINIENTOS SESENTA Y SEIS MIL CIENTO TREINTA Y UN PESOS ( $10.566.131.OO) M/CTE., POR  CONCEPTO DE DESCUENTOS LEGALES Y APORTES PATRONALES, CONFORME A LA LIQUIDACION DE LA SENTENCIA REFERIDA,  EFECTUADA POR LA DIRECCION DE GESTION DE TALENTO HUMANO, QUE OBRA EN LA TABLA INSERTADA EN LA PARTE MOTIVA DE LA PRESENTE RESOLUCION.</t>
  </si>
  <si>
    <t>POR LA CUAL SE ORDENA DAR CUMPLIMIENTO A UNA PROVIDENCIA DE LA JURISDICCIÓN DE LO CONTENCIOSO ADMINISTRATIVOARTICULO PRIMERO: ORDÉNESE A LA DIRECCIÓN FINANCIERA DE LA SECRETARÍA DISTRITAL DE GOBIERNO DAR CUMPLIMIENTO A LA SENTENCIA PROFERIDA EL 30 DE JUNIO DE 2016 POR EL JUZGADO TREINTA Y NUEVE ADMINISTRATIVO DEL CIRCULO DE ORALIDAD DE BOGOTÁ, DENTRO DEL PROCESO CON RADICACIÓN NÚMERO 11001-33-35-007-2015-00358-00 DE FRANCISCO CHACON CHACON CONTRA DISTRITO CAPITAL - OTROS.</t>
  </si>
  <si>
    <t>ANDRES FELIPE PATIÑO DUQUE</t>
  </si>
  <si>
    <t>FRANCISCO  CHACON CHACON</t>
  </si>
  <si>
    <t>RA 19</t>
  </si>
  <si>
    <t>NOMINA ABRIL</t>
  </si>
  <si>
    <t>RA 18</t>
  </si>
  <si>
    <t>PAGO DE LA AUTOLIQUIDACIÓN DE APORTES PATRONALES Y PARAFISCALES DE LA NÓMINA GENERAL DEL MES DE MARZO DE 2017.</t>
  </si>
  <si>
    <t>RA 20</t>
  </si>
  <si>
    <t>PAGO DE CESANTÍAS A FUNCIONARIOS QUE SE RETIRARON DE LA ENTIDAD Y A QUIENES SE LES ESTÁ PAGANDO PRESTACIONES EN ABRIL DE 2017</t>
  </si>
  <si>
    <t>ADICION Y PRORROGA CONTRATO 966 DE 2016</t>
  </si>
  <si>
    <t>ADICION Y PRORROGA CONTRATO 967 DE 2016</t>
  </si>
  <si>
    <t>ADICION Y PRORROGA CONTRATO 963 DE 2016</t>
  </si>
  <si>
    <t>ADICION Y PRORROGA CONTRATO 965 DE 2016</t>
  </si>
  <si>
    <t>ADICION Y PRORROGA CONTRATO 964 DE 2016</t>
  </si>
  <si>
    <t>ADICION Y PRORROGA CONTRATO 962 DE 2016</t>
  </si>
  <si>
    <t>O.C 414</t>
  </si>
  <si>
    <t>ORACLE COLOMBIA LIMITADA</t>
  </si>
  <si>
    <t>ADICION Y PRORROGA CONTRATO DE INTERVENTORIA NO. 974 DE 2016</t>
  </si>
  <si>
    <t>C.P.S. 966</t>
  </si>
  <si>
    <t>C.P.S. 965</t>
  </si>
  <si>
    <t>C.P.S. 963</t>
  </si>
  <si>
    <t>C.P.S. 964</t>
  </si>
  <si>
    <t>C.P.S. 962</t>
  </si>
  <si>
    <t>C.P.S. 967</t>
  </si>
  <si>
    <t>LUIS ALFONSO MARTINEZ CHIMENTY</t>
  </si>
  <si>
    <t>DANIEL LEONARDO RAMIREZ VARGAS</t>
  </si>
  <si>
    <t>YENY  YAÑEZ BOLIVAR</t>
  </si>
  <si>
    <t>JAIME ISRAEL VALDERRAMA VALDERRAMA</t>
  </si>
  <si>
    <t>YAIRA MILENA QUINTERO CAUCALI</t>
  </si>
  <si>
    <t>EDISON GUIOVANNI CLAVIJO MARTINEZ</t>
  </si>
  <si>
    <t>C.INTER N° 430</t>
  </si>
  <si>
    <t xml:space="preserve">PRESTAR LOS SERVICIOS DE MENSAJERÍA, RECEPCIÓN, DISTRIBUCIÓN Y TRÁMITE DE COMUNICACIONES OFICIALES EXTERNAS E INTERNAS, ENVIADAS Y RECIBIDAS, EN FORMA PERSONALIZADA Y/O INMEDIATA, PARA LAS DEPENDENCIAS DEL NIVEL CENTRAL </t>
  </si>
  <si>
    <t>C.P.S. 974-16</t>
  </si>
  <si>
    <t>PEDRO IGNACIO ROZO CONTRERAS</t>
  </si>
  <si>
    <t>FACTURA 4656293902</t>
  </si>
  <si>
    <t>FACTURA 4664068396</t>
  </si>
  <si>
    <t>FACTURA 4660752024</t>
  </si>
  <si>
    <t>FACTURA 4389024912</t>
  </si>
  <si>
    <t>FACTURA 4389025216</t>
  </si>
  <si>
    <t>FACTURA 4389024714</t>
  </si>
  <si>
    <t>FACTURA 4389086119</t>
  </si>
  <si>
    <t>FACTURA 4389024615</t>
  </si>
  <si>
    <t>FACTURA 5758705312</t>
  </si>
  <si>
    <t>FACTURA 4388985410</t>
  </si>
  <si>
    <t>FACTURA 4388985519</t>
  </si>
  <si>
    <t>FACTURA 5075978113</t>
  </si>
  <si>
    <t>FACTURA 4388994917</t>
  </si>
  <si>
    <t>FACTURA 4389013113</t>
  </si>
  <si>
    <t>FACTURA 7591</t>
  </si>
  <si>
    <t>FACTURA 5076055416</t>
  </si>
  <si>
    <t>FACTURA 6441094619</t>
  </si>
  <si>
    <t>FACTURA 5758772510</t>
  </si>
  <si>
    <t>FACTURA 5076029015</t>
  </si>
  <si>
    <t>FACTURA 9172115512</t>
  </si>
  <si>
    <t>FACTURA 7123654613</t>
  </si>
  <si>
    <t>FACTURA 5076034510</t>
  </si>
  <si>
    <t>FACTURA 7123653516</t>
  </si>
  <si>
    <t>FACTURA 5076051514</t>
  </si>
  <si>
    <t>FACTURA 52163177</t>
  </si>
  <si>
    <t>FACTURA DE VENTA DE LA EMPRESA TELMEX COLOMBIA S.A. N°. 52163177SERVICIO DE TELEVISION POR CABLE DEL DESPACHO DE LA SECRETARIA DISTRITAL DE GOBIERNOPERIODO FACTURADO DEL 12 DE MAYO AL 11 DE JUNIO DE 2017TOTAL A PAGAR $102.600</t>
  </si>
  <si>
    <t>CONTRATAR UN PROCESO DE CAPACITACIÓN DIRIGIDO A LOS SERVIDORES PUBLICOS DE LA SECRETARIA DISTRITAL DE GOBIERNO EN LAS SIGUIENTES TEMATICAS: NUEVO CÓDIGO DE POLICIA Y CONVIVENCIA, CONTRATACIÓN ESTATAL, NORMAS INTERNACIONALES DE CONTABILIDAD PARA EL SECTOR PÚBLICO, ESTRUCTURACIÓN Y SEGUIMIENTO DE POLITICAS PÚBLICAS DISTRITALES, AUDITORES INTEGRALES INTERNOS, CURSO DE EXPRESIÓN Y GRAMÁTICA EFICAZ, CONFORME A LO ESTABLECIDO EN EL ANEXO TÉCNICO</t>
  </si>
  <si>
    <t xml:space="preserve">RECONOCER EL PAGO DE INCENTIVOS - ESTRETEGIA DE INNOVACION INSTITUCIONAL </t>
  </si>
  <si>
    <t>RECONOCER EL PAGO DE INCENTIVOS - MEJORES SERVIDORES PUBLICOS</t>
  </si>
  <si>
    <t>RESOL 125</t>
  </si>
  <si>
    <t>INCENTIVO DE AUXILIO PARA EDUCACIÓN FORMAL A LOS SERVIDORES PÚBLICOS CUYA EVALUACIÓN DEL DESEMPEÑO CORRESPONDE AL NIVEL SOBRESALIENTE GONZALEZ GUATAQUIRA AMANDA MILENA CON C.C. 52.760.402</t>
  </si>
  <si>
    <t>INCENTIVO DE AUXILIO PARA EDUCACIÓN FORMAL A LOS SERVIDORES PÚBLICOS CUYA EVALUACIÓN DEL DESEMPEÑO CORRESPONDE AL NIVEL SOBRESALIENTESALCEDO NATALIA MARCELA CON C.C. 53.096.934</t>
  </si>
  <si>
    <t>ESCUELA SUPERIOR DE ADMINISTRACION PUBLICA</t>
  </si>
  <si>
    <t>FACTURA 237001136</t>
  </si>
  <si>
    <t>TELEFONIA LOCAL, LARGA DISTANCIA, INTERNET Y DATOS, ALIANZAS ETB Y OTROS OPERADORES DE LAS DEPENDENCIAS DE LA SECRETARIA DISTRITAL DE GOBIERNOPERIODO DE CONSUMO ABRIL 01 AL 30 DE 2016TOTAL A PAGAR $13.629.030</t>
  </si>
  <si>
    <t>SENTENCIA PROFERIDA EL 19 DE AGOSTO DE 2016 POR EL TRIBUNAL  ADMINISTRATIVO DE CUNDINAMARCA DE LA SECCIÓN SEGUNDA - SUBSECCIÓN "C" DENTRO DEL PROCESO  CON RADICACIÓN NÚMERO 11001-33-35-705-2014-00065-01 DE LEO HAMASAIT TEJERO GUTIERREZ CONTRA DISTRITO CAPITAL - SECRETARIA DE GOBIERNO DISTRITAL - DIRECCIÓN CARCEL DISTRITAL DE VARONES Y ANEXO DE MUJERES DE BOGOTÁ</t>
  </si>
  <si>
    <t>LEO HAMASAIT TEJERO GUTIERREZ</t>
  </si>
  <si>
    <t>RECONOCIMIENTO Y PAGO DEL SERVICIO EXTRA PRESTADO POR LOS DELEGADOS DE LA SECRETARÍA DISTRITAL DE GOBIERNO DE BOGOTÁ D.C EN LA SUPERVISIÓN DE LOS CONCURSOS Y LOS SORTEOS REALIZADOS POR LAS LOTERÍAS, LOS CONSORCIOS COMERCIALES Y LOS JUEGOS PROMOCIONALES EN EL MES DE ABRIL DE 2017 Y DEL TIEMPO EXCEDIDO DURANTE EL SERVICIO</t>
  </si>
  <si>
    <t>RESL - 303</t>
  </si>
  <si>
    <t>RECONOCIMIENTO Y PAGO DEL SERVICIO EXTRA PRESTADO POR LOS DELEGADOS  MES DE MARZO  DE 2017 Y DEL TIEMPO EXCEDIDO DURANTE EL SERVICIO</t>
  </si>
  <si>
    <t>RA 21</t>
  </si>
  <si>
    <t>PAGO DE LA AUTOLIQUIDACIÓN DE APORTES PATRONALES Y PARAFISCALES DE LA NÓMINA GENERAL DE ABRIL DE 2017.</t>
  </si>
  <si>
    <t>PRIMER REEMBOLSO  CAJA MENOR DE LA DIRECCION ADMINISTRATIVA</t>
  </si>
  <si>
    <t>RESOL 180</t>
  </si>
  <si>
    <t>C.P.S. 485</t>
  </si>
  <si>
    <t>SOPORTE TÉCNICO Y ACTUALIZACIÓN - (SOFTWARE UPDATE LICENSE &amp; SUPPORT) PARA EL SOFTWARE DE LA PLATAFORMA ORACLE DE PROPIEDAD DE LA SECRETARÍA DISTRITAL DE GOBIERNO</t>
  </si>
  <si>
    <t>FACTURA 4680893196</t>
  </si>
  <si>
    <t>FACTURA 4674387539</t>
  </si>
  <si>
    <t>COMPROBANTE 1612358275</t>
  </si>
  <si>
    <t>FACTURA4681001464</t>
  </si>
  <si>
    <t>EDIFICIO FURATENA - SECRETARIA DISTRITAL DE GOBIERNOPERIODO FACTURADO DEL 07 DE ABRIL  AL 09 DE MAYO DE 2017TOTAL A PAGAR $1.065.880</t>
  </si>
  <si>
    <t>ALCALDIA MAYOR DE BOGOTAPERIODO FACTURADO DEL 07 DE ABRIL AL 09 DE MAYO DE 2017TOTAL A PAGAR $24.843.256 CORRESPONDIENTE AL 50% DE ACUERDO AL CONVENIO</t>
  </si>
  <si>
    <t>RESOL 310</t>
  </si>
  <si>
    <t>RESOL 160</t>
  </si>
  <si>
    <t>RESOL 212</t>
  </si>
  <si>
    <t>RESOL 266</t>
  </si>
  <si>
    <t>RESOL 292</t>
  </si>
  <si>
    <t>DAR CUMPLIMIENTO A LA PROVIDENCIA JUDICIAL  PROFERIDA POR EL JUZGADO TREINTA Y TRES (33) CIVIL DEL CIRCUITO JUDICIAL DE BOGOTÁ, CONFORME A LOS EXPUESTO EN LA PARTE MOTIVA DE LA PRESENTE RESOLUCIÓN.</t>
  </si>
  <si>
    <t>GUILLERMO  OROZCO PARDO</t>
  </si>
  <si>
    <t>RESOL 380</t>
  </si>
  <si>
    <t>RA 22</t>
  </si>
  <si>
    <t>NOMINA MAYO</t>
  </si>
  <si>
    <t>RA 23</t>
  </si>
  <si>
    <t>RESOL 323</t>
  </si>
  <si>
    <t>REALIZAR LA INTERVENTORÍA TÉCNICA, ADMINISTRATIVA, JURÍDICA, AMBIENTAL Y FINANCIERA, AL CONTRATO DE MANTENIMIENTO PREVENTIVO, CORRECTIVO, DE OBRAS DE MEJORA Y REPARACIONES LOCATIVAS QUE REQUIERAN LAS INSTALACIONES DE LAS DEPENDENCIAS DE LA SECRETARÍA DISTRITAL DE GOBIERNO</t>
  </si>
  <si>
    <t>PAGO DE CESANTÍAS  A FUNCIONARIOS QUE SE RETIRAN DE LA ENTIDAD</t>
  </si>
  <si>
    <t>RA 25</t>
  </si>
  <si>
    <t>RA 28</t>
  </si>
  <si>
    <t>PAGO DE APORTES PATRONALES DE VÍCTOR MARIO GASCA HURTADO POR EL MES DE ABRIL DE 2017</t>
  </si>
  <si>
    <t>PAGO DEL COMPLEMENTO DE LIQUIDACIÓN  VÍCTOR MARIO GASCA HURTADO POR EL MES DE ABRIL DE 2017</t>
  </si>
  <si>
    <t>RESOL 325</t>
  </si>
  <si>
    <t>PAGO DE MAYOR VALOR DESCONTADO DEBERÁN SER CONSIGNADOS A LA CUENTA DE AHORROS INDICADA POR EL SEÑOR EDERT ANTONIO SILVA ORJUELA</t>
  </si>
  <si>
    <t>EDERT ANTONIO SILVA ORJUELA</t>
  </si>
  <si>
    <t xml:space="preserve">ADICION AL CONTRATO NO. 377 DE 2016 </t>
  </si>
  <si>
    <t>AXA COLPATRIA SEGUROS SA</t>
  </si>
  <si>
    <t xml:space="preserve"> EDIFICIO FURATENA - PERIODO FACTURADO DEL 11 DE ENERO AL 08 DE FEBRERO DE 2017</t>
  </si>
  <si>
    <t>CORREGIDURIA DE PASQUILLA DE LA LOCALIDAD DE CIUDAD BOLIVAR.PERIODO FACTURADO DEL 6 DE ENERO AL 6 DE FEBRERO DE 2017</t>
  </si>
  <si>
    <t>EL DADEP A LA SECRETARIA DISTRITAL DE GOBIERNOPERIODO FACTURADO DEL 25 DE ENERO AL 22 DE FEBRERO DE 2017</t>
  </si>
  <si>
    <t>INSPEC DE CHAPINEROPERIODO FACTURADO DEL 13 DE ENERO AL 10 DE DEBRERO DE 2017</t>
  </si>
  <si>
    <t>CONSEJO DE JUSTICIA DE TEUSAQUILLOPERIODO FACTURADO DEL 27 DE ENERO AL 24 DE FEBRERO DE 2017</t>
  </si>
  <si>
    <t xml:space="preserve"> INSPEC  FONTIBON PERIODO FACTURADO DEL 06 DE FEBRERO AL 06 DE MARZO DE 2017</t>
  </si>
  <si>
    <t>INSPEC  BARRIOS UNIDOSPERIODO FACTURADO DEL 20 DE ENERO AL 17 DE FEBRERO DE 2017TO</t>
  </si>
  <si>
    <t>INSPEC  FONTIBONPERIODO FACTURADO 6 DE ENERO AL 6 DE FEBRERO DE 2017</t>
  </si>
  <si>
    <t>SECRETARIA DISTRITAL DE GOBIERNO PERIODO FACTURADO DEL 08 DE FEBRERO AL 08 DE MARZO DE 2017</t>
  </si>
  <si>
    <t>ALCALDIA MAYOR DE BOGOTAPERIODO FACTURADO DEL 11 DE ENERO AL 08 DE FEBRERO DE 2017TOTAL A PAGAR $24.135.458 CORRESPONDIENTE AL 50% DE ACUERDO AL CONVENIO</t>
  </si>
  <si>
    <t>INSPEC CHAPINERO PERIODO FACTURADO DEL 10 DE FEBRERO AL 10 DE MARZO DE 2017</t>
  </si>
  <si>
    <t>ALCALDIA MAYOR DE BOGOTÁPERIODO FACTURADO DEL 08 DE FEBRERO AL 08 DE MARZO DE 2017</t>
  </si>
  <si>
    <t>ALCALDIA RAFAEL URIBE URIBEPERIODO FACTURADO DEL 16 DE ENERO AL 13 DE FEBRERO DE 2017</t>
  </si>
  <si>
    <t xml:space="preserve"> INSPEC DE BARRIOS UNIDOS. PREDIO KRA 55 NO. 79B-48.PERIODO FACTURADO 17 DE FEBRERO A 17 DE MARZO DE 2017VALOR A PAGAR  $573.850FACTURA DE SERVICIOS PUBLICOS NO. 462237259-3</t>
  </si>
  <si>
    <t>BODEGA DEL ALMACEN GENERALPERIODO FACTURADO 22 DE FEBRERO AL 23 DE MARZO DE 2017F</t>
  </si>
  <si>
    <t>INSPEC  DE TEUSAQUILLO PERIODO FACTURADO 24 DE FEBRERO AL 28 DE MARZO DE 2017</t>
  </si>
  <si>
    <t>EDIFICIO FURATENA.PERIODO FACTURADO 8 DE MARZO AL 7 DE ABRIL DE 2017</t>
  </si>
  <si>
    <t>INSPEC  DE FONTIBONPERIODO FACTURADO 6 DE MARZO AL 5 DE ABRIL DE 2017</t>
  </si>
  <si>
    <t xml:space="preserve"> INSPEC DE CHAPINEROPERIODO </t>
  </si>
  <si>
    <t>ALCALDIA MAYOR DE BOGOTAPERIODO FACTURADO DEL 08 DE MARZO AL 07 DE ABRIL DE 2017TOTAL A PAGAR $26.024.673 CORRESPONDIENTE AL 50% DE ACUERDO AL CONVENIO</t>
  </si>
  <si>
    <t>INSPEC DE  BARRIOS UNIDOSPERIODO FACTURADO DEL 17 DE MARZO AL 19 DE ABRIL DE 2017</t>
  </si>
  <si>
    <t>CONSEJO DE JUSTICIA DE TEUSAQUILLO - CL 46 14 22PERIODO FACTURADO DEL 28 DE MARZO AL 27 DE ABRIL DE 2017</t>
  </si>
  <si>
    <t>DADEP A LA SECRETARIA DISTRITAL DE GOBIERNOPERIODO FACTURADO DEL 23 DE MARZO AL 25 DE ABRIL DE 2017</t>
  </si>
  <si>
    <t>INSPEC FONTIBON PERIODO FACTURADO DEL 05 DE ABRIL AL 05 DE MAYO DE 2017TOTAL A PAGAR $326.220</t>
  </si>
  <si>
    <t>INSPEC DE CHAPINEROPERIODO FACTURADO DEL 10  DE ABRIL AL 11 DE MAYO DE 2017TOTAL A PAGAR $623.770</t>
  </si>
  <si>
    <t>CONSEJO DE JUSTICIA DE TEUSAQUILLOCL 46 14 28PERIODO FACTURADO DEL 18 DE NOVIEMBRE DE 2016 AL 17 DE ENERO DE 2017</t>
  </si>
  <si>
    <t>INSPEC DE CIUDAD BOLIVARPERIODO FACTURADO DEL 01 DE FEBRERO AL 28 DE FEBRERO DE 2017</t>
  </si>
  <si>
    <t>INSPEC DE  ANTONIO NARIÑODG 19 SUR 19 33 PI 1PERIODO FACTURADO DEL 18 DE NOVIEMBRE DE 2016 AL 17 DE ENERO DE 2017</t>
  </si>
  <si>
    <t>EDIFICIO FURATENA - SECRETARIA DE GOBIERNOCL 12C 8 53PERIODO FACTURADO DEL 18 DE NOVIEMBRE DE 2016 AL 17 DE ENERO DE 2017</t>
  </si>
  <si>
    <t>INSPEC  DE FONTIBONKR 75 23F 07 PI 2PERIODO FACTURADO DEL 18 DE NOVIEMBRE DE 2016  AL 17 DE ENERO DE 2017</t>
  </si>
  <si>
    <t>INSPEC DE  RAFAEL URIBECL 32 SUR 23 62PERIODO FACTURADO DEL 18 DE NOVIEMBRE DE 2016 AL 17 DE ENERO DE 2017</t>
  </si>
  <si>
    <t>INSPEC  DE USAQUEN CL 122 7A 61PERIODO FACTURADO DEL 18 DE NOVIEMBRE DE 2016  AL 17 DE ENERO DE 2017</t>
  </si>
  <si>
    <t>INSPEC  DE BARRIOS UNIDOS KR 55 79B 48PERIODO FACTURADO DEL 18 DE NOVIEMBRE DE 2016 AL 17 DE ENERO DE 2017</t>
  </si>
  <si>
    <t>INSPEC DE CHAPINERO CL 61 N 7 51PERIODO FACTURADO DEL 18 DE NOVIEMBRE 2016  AL 17 DE ENERO DE 2017</t>
  </si>
  <si>
    <t>CONSEJO DE JUSTICIA - LOCALIDAD DE CHAPINERO - AK 14 53 60 Y CL 14 53 80PERIODO FACTURADO DEL 18 DE NOVIEMBRE DE 2016 AL 17 DE ENERO DE 2017</t>
  </si>
  <si>
    <t>INSPEC DE CIUDAD BOLIVAR. VEREDA DE PASQUILLAFACTURA DE VENTA  AAPC NO. 7381TOTAL A PAGAR  $ 19.128.00</t>
  </si>
  <si>
    <t>EDIFICIO FURATENA SECRETARIA DE GOBIERNO - CL 12C 53PERIODO FACTURADO DEL 18 DE ENERO AL 17 DE MARZO DE 2017TOTAL A PAGAR $154.690</t>
  </si>
  <si>
    <t>INSPEC DE  FONTIBON - KR 75 23F 07 PI 2 PERIODO FACTURADO DEL 18 DE ENERO AL 17 DE MARZO DE 2017TOTAL A PAGAR $98.170</t>
  </si>
  <si>
    <t>INSPEC DE  ANTONIO NARIÑO - DG 19 SUR 19 33 PI 1PERIODO FACTURADO DEL 18 DE ENERO AL 17 DE MARZO DE 2017TOTAL A PAGAR $286.590</t>
  </si>
  <si>
    <t>CONSEJO DE JUSTICIA - LOCALIDAD DE CHAPINERO AK 14 53 60 Y AK 14 53 80PERIODO FACTURADO DEL 18 DE ENERO AL 17 DE MARZO DE 2017TOTAL A PAGAR $5.465.350</t>
  </si>
  <si>
    <t>INSPEC DE RAFAEL URIBE URIBE - CL 32 SUR 23 62 PI 14PERIODO FACTURADO DEL 18 DE ENERO AL 17 DE MARZO DE 2017TOTAL A PAGAR $983.750</t>
  </si>
  <si>
    <t>EDIFICIO LIEVANO - BICENTENARIOPERIODO FACTURADO DEL 18 DE ENERO AL 17 DE MARZO DE 2017TOTAL A PAGAR $13.070.990</t>
  </si>
  <si>
    <t xml:space="preserve"> INSPEC DE  CHAPINERO PERIODO FACTURADO DEL 18 DE ENERO AL 17 DE MARZO DE 2017TOTAL A PAGAR $4.559.050</t>
  </si>
  <si>
    <t>INSPEC  DE BARRIOS UNIDOSPERIODO FACTURADO DEL 18 DE ENERO AL 17 DE MARZO DE 2017TOTAL A PAGAR $149.980</t>
  </si>
  <si>
    <t>INSPEC  DE USAQUEN - CL 122 7A 61PERIODO FACTURADO DEL 18 DE ENERO AL 17 DE MARZO DE 2017TOTAL A PAGAR $328.980</t>
  </si>
  <si>
    <t>CONSEJO DE JUSTICIA DE TEUSAQUILLO - CL 46 14 28PERIODO FACTURADO DEL 18 DE ENERO AL 17 DE MARZO DE 2017TOTAL A PAGAR $55.770</t>
  </si>
  <si>
    <t>INSPEC DE CIUDAD BOLIVAR - CL 62 SUR 18A 25PERIODO FACTURADO DEL 18 DE ENERO AL 17 DE MARZO DE 2017TOTAL A PAGAR $275.370</t>
  </si>
  <si>
    <t>INSPEC DE  CIUDAD BOLIVARPERIODO FACTURADO DEL 01 DE ABRIL AL 30 DE ABRIL DE 2017TOTAL A PAGAR $21.602</t>
  </si>
  <si>
    <t>CONSEJO DE JUSTICIAPERIODO FACTURADO DEL 24 DE AGOSTO AL 22 DE OCTUBRE DE 2016</t>
  </si>
  <si>
    <t>CONSEJO DE JUSTICIA DE TEUSAQUILLOPERIODO FACTURADO DEL 23 DE OCTUBRE AL 21 DE DICIEMBRE DE 2016</t>
  </si>
  <si>
    <t>INSPEC DE FONTIBONKR 75 23F 07 PI 2 PERIODO FACTURADO DEL 23 DE OCTUBRE AL 21 DE DICIEMBRE DE 2016</t>
  </si>
  <si>
    <t>EDIFICIO FURATENA  - SECRETARIA DE GOBIERNOCL 12C 8 53PERIODO FACTURADO DEL 23 DE OCTUBRE AL 21 DE DICIEMBRE DE 2016</t>
  </si>
  <si>
    <t>INSPEC DE DE REFAEL URIBECL 32 SUR 23 62PERIODO FACTURADO DEL 23 DE OCTUBRE AL 21 DE DICIEMBRE DE 2016</t>
  </si>
  <si>
    <t>INSPEC DE  ANTONIO NARIÑODG 19 SUR 19 33 PI 1PERIODO FACTURADO DEL 23 DE OCTUBRE AL 21 DE DICIEMBRE DE 2016</t>
  </si>
  <si>
    <t>INSPEC DE  BARRIOS UNIDOS KR 55 79B 48PERIODO FACTURADO DEL 23 DE OCTUBRE AL 21 DE DICIEMBRE DE 2016</t>
  </si>
  <si>
    <t xml:space="preserve"> INSPEC DE  CHAPINEROCL 61 7 51PERIODO FACTURADO DEL 23 DE OCTUBRE AL 21 DE DICIEMBRE DE 2016$67.319</t>
  </si>
  <si>
    <t>INSPEC DE  DE LOS MARTIRESKR 21 14 75 PI APERIODO FACTURADO DEL 23 DE OCTUBRE AL 21 DE DICIEMBRE DE 2016</t>
  </si>
  <si>
    <t>CONSEJO DE JUSTICIA - LOCALIDAD DE CHAPINERO - AK 14 53 80 PI 2PERIODO FACTURADO DEL 23 DE OCTUBRE AL 22 DE DICIEMBRE DE 2016</t>
  </si>
  <si>
    <t>EDIRFICIO FURATENA - SECRETARIA DE GOBIERNO - CL 12C 8 53PERIODO FACTURADO DEL 22 DE DICIEMBRE DE 2016  AL 18 DE FEBRERO DE 2017TOTAL A PAGAR $342.430</t>
  </si>
  <si>
    <t>NSPEC DE RAFAEL URIBE URIBE - CL 32 SUR 23 62PERIODO FACTURADO DEL 22 DE DICIEMBRE DE 2016  AL 18 DE FEBRERO DE 2017TOTAL A PAGAR $65.490.</t>
  </si>
  <si>
    <t>INSPEC DE ANTONIO NARIÑO - DG 19 SUR 19 33 PI 1PERIODO FACTURADO DEL 22 DE DICIEMBRE DE 2016  AL 18 DE FEBRERO DE 2017TOTAL A PAGAR $969.220</t>
  </si>
  <si>
    <t>INSPEC DE FONTIBON - KR 75 23F 07 PI 2PERIODO FACTURADO DEL 22 DE DICIEMBRE DE 2016 AL 18 DE FEBRERO DE 2017TOTAL A PAGAR $65.490</t>
  </si>
  <si>
    <t>INSPEC  DE CHAPINERO -- CL 61 7 51PERIODO FACTURADO DEL 22 DE DICIEMBRE AL 18 DE FEBRERO DE 2017TOTAL A PAGAR $65.490</t>
  </si>
  <si>
    <t>INSPEC DE  BARRIOS UNIDOS - KR 55 79B 48PERIODO FACTURADO DEL 22 DE DICIEMBRE AL 18 DE FEBRERO DE 2017TOTAL A PAGAR $180.420</t>
  </si>
  <si>
    <t>INSPEC  DE LOS MARTIRESPERIODO FACTURADO DEL 22 DE DICIEMBRE AL 18 DE FEBRERO DE 2017TOTAL A PAGAR $65.490</t>
  </si>
  <si>
    <t>INSPEC DE  USAQUENPERIODO FACTURADO DEL 22 DE DICIEMBRE AL 18 DE FEBRERO DE 2017TOTAL A PAGAR $61.593</t>
  </si>
  <si>
    <t>CONSEJO DE JUSTICIA DE TEUSAQUILLO - CL 46 14 28PERIODO FACTURADO DEL 22 DE DICIEMBRE  DE 2016 AL 18 DE FEBRERO DE 2017TOTAL A PAGAR $65.490</t>
  </si>
  <si>
    <t>DEPENDENCIAS DEL NIVEL CENTRAL EDIFICIO BICENTENARIO.FACTURA PERIODO DEL MES DE ENERO DE 2017F</t>
  </si>
  <si>
    <t>C.P.S. 813-16</t>
  </si>
  <si>
    <t>ADICIÓN Y PRÓRROGA DEL CONTRATO NO. 813 DE 2016</t>
  </si>
  <si>
    <t>AIRECO SAS</t>
  </si>
  <si>
    <t>C.P.S. 505</t>
  </si>
  <si>
    <t>C.P.S. 695-16</t>
  </si>
  <si>
    <t>ADICION Y PRORROGA CONTRATO DE PRESTACION DE SERVICIOS NO. 695 DE 2016</t>
  </si>
  <si>
    <t>MANTENIMIENTO PREVENTIVO Y CORRECTIVO (MANO DE OBRA) CON SUMINISTRO DE INSUMOS, REPUESTOS ORIGINALES, NUEVOS Y ATENCIÓN DE EMERGENCIAS PARA EL ASCENSOR MARCA MITSUBISHI EN EL EDIFICIO BICENTENARIO SEGUNDA ETAPA UBICADO EN LA CALLE 11 NO.8-17 DE LA SECRETARÍA DISTRITAL DE GOBIERNO</t>
  </si>
  <si>
    <t>MITSUBISHI ELECTRIC DE COLOMBIA LIMITADA</t>
  </si>
  <si>
    <t>PRECAR LIMITADA</t>
  </si>
  <si>
    <t>INSPECCIONES DE BARRIOS UNICODPERIODO FACTURADO 19 DE ABRIL AL 18 DE MAYO DE 2017</t>
  </si>
  <si>
    <t>CONSEJO DE JUSTICIA DE TEUSAQUILLOPERIODO FACTURADO DEL 27 DE ABRIL AL 30 DE MAYO DE 2017</t>
  </si>
  <si>
    <t>PREDIO UBICADO EN LA KR 22 N°. 66 A - 14 ENTREGADO POR EL DADEP A LA SECRETARIA DISTRITAL DE GOBIERNOPERIODO FACTURADO DEL 25 DE ABRIL  AL 23 DE MAYO DE 2017</t>
  </si>
  <si>
    <t>FACTURA 4688954482</t>
  </si>
  <si>
    <t>FACTURA 4696777799</t>
  </si>
  <si>
    <t>FACTURA 4693274820</t>
  </si>
  <si>
    <t>FACTURA 7801</t>
  </si>
  <si>
    <t>SERVICIO DE ACUEDUCTO Y ALCANTARILLADO DE LA INSPECCIÓN DE POLICIA DE LA LOCALIDAD DE CIUDAD BOLIVARPERIODO FACTURADO DEL 01 DE MAYO AL 31 DE MAYO DE 2017</t>
  </si>
  <si>
    <t>RA 30</t>
  </si>
  <si>
    <t>NOMINA JUNIO</t>
  </si>
  <si>
    <t>RA 32</t>
  </si>
  <si>
    <t>DIRECCIÓN DE GESTIÓN DEL TALENTO HUMANAO</t>
  </si>
  <si>
    <t>DOTACIÓN DE VESTIDO PARA LOS CONDUCTORES DE LA ENTIDAD, A TRAVÉS DEL ACUERDO MARCO DE PRECIOS NO CCE-456-1-AMP-2016 DEL 5 DE DICIEMBRE DE 2016</t>
  </si>
  <si>
    <t>PREDIO UBICADO EN LA CL 12 N°. 8 53  SECRETARIA DISTRITAL DE GOBIERNOPERIODO FACTURADO DEL 09 DE MAYO AL 09 DE JUNIO DE 2017</t>
  </si>
  <si>
    <t>INSPECCIÓN DE POLICIA DE FONTIBONPERIODO FACTURADO DEL 05 DE MAYO AL 07 DE JUNIO DE 2017</t>
  </si>
  <si>
    <t>PREDIO UBICADO EN LA KR 8  N°. 10 - 65 ALCALDIA MAYOR DE BOGOTAPERIODO FACTURADO DEL 09 DE MAYO AL 09 DE JUNIO DE 2017TOTAL A PAGAR $23.268.871 CORRESPONDIENTE AL 50% DE ACUERDO AL CONVENIO</t>
  </si>
  <si>
    <t>FACTURA 4714003672</t>
  </si>
  <si>
    <t>FACTURA 4706986254</t>
  </si>
  <si>
    <t>FACTURA 1613851867</t>
  </si>
  <si>
    <t>SEGUNDO REEMBOLSO CAJA MENOR DIRECCION ADMINISTRATIVA</t>
  </si>
  <si>
    <t>FACTURAS 52723156</t>
  </si>
  <si>
    <t>TELEVISION POR CABLE PARA LAS DEPENDENCIAS DEL NIVEL CENTRAL DE LA SDG.  CALLE 11 8 17 P 2PERIODOS FACTURADOS 12 DE JUNIO AL 11 DE JULIO DE 2017FACTURA DE VENTA NO. 52723156TOTAL A PAGAR  $ 166.600</t>
  </si>
  <si>
    <t>ACEP OFER 950</t>
  </si>
  <si>
    <t>ADICION Y PRORROGA NO. 2 CONTRATO DE PRESTACION DE SERVICIOS NO. 950 DE 2016</t>
  </si>
  <si>
    <t>GRAN IMAGEN S.A.S.</t>
  </si>
  <si>
    <t>C.P.S. 533</t>
  </si>
  <si>
    <t>LUCKY GLOBAL ELEVATORS S A S</t>
  </si>
  <si>
    <t>FACTURA 7151080111</t>
  </si>
  <si>
    <t>FACTURA 7151078412</t>
  </si>
  <si>
    <t>FACTURA 7151078313</t>
  </si>
  <si>
    <t>FACTURA 7151078917</t>
  </si>
  <si>
    <t>FACTURA 5789693115</t>
  </si>
  <si>
    <t>FACTURA 5789573614</t>
  </si>
  <si>
    <t>FACTURA 5789610416</t>
  </si>
  <si>
    <t>FACTURA 5789610515</t>
  </si>
  <si>
    <t>INSPECCIONES DE POLICIA DE FONTIBON  KR 75 23 F 07 PI 2PERIODO FACTURADO 18 DE MARZO AL 17 DE MAYO DE 2017FACTURA DE SERVICIOS PUBLICOS NO. 7151080111VA LOR A PAGAR  $144.160</t>
  </si>
  <si>
    <t>DG 19 SUR 19 33 PI 1PERIODO FACTURADO 18 DE MARZO AL 17 DE MAYO DE 2017FACTURA DE SERVICIOS PUBLICOS NO. 7151078412VALOR A PAGAR  $ 264.930</t>
  </si>
  <si>
    <t>INSPECCIONES DE POLICIA RAFAEL URIBEPERIODO FACTURADO 18 DE MARZO AL 17 DE  MAYO DE 2017FACTURA DE SERVICIOS PUBLICOS NO. 7151078313VALOR A PAGAR  $ 1.033.060</t>
  </si>
  <si>
    <t>EDIFICIO FURATENAPERIODO FACTURADO 18 DE MARZO AL 17 DE MAYO DE 2017FACTURA DE SERVICIOS PUIBLICOS NO. 7151078917VALOR A PAGAR  $ 124.840</t>
  </si>
  <si>
    <t>CONSEJO DE JUSTICIA.PERIODO FACTURADO  MARZO 18 A MAYO 17 DE 2017 FACTURAS DE SERVICIOS PUBLICOS  NOS.  5789693115, 5789693214, 5789693313,  5789693412, 5789693511,  5789693610,  5789693719, 5789693818,  5789693917, 5789694014 Y 589694113VALOR  A PAGAR  $ 5.730.740</t>
  </si>
  <si>
    <t>CONSEJO DE JUSTICIA DE TEUSAQUILLOPERIODO FACTURADO 18 DE MARZO AL 17 DE MAYO DE 2017FACTURA DE SERVICIOS PUBLICOS NO. 5789573614VALOR A PAGAR  $ 37.880</t>
  </si>
  <si>
    <t>O.C. 539</t>
  </si>
  <si>
    <t>ENTREGAR A TÍTULO DE COMPRAVENTA LAS ÓRDENES DE DOTACIÓN DE VESTIDO DE LABOR DEL PERSONAL ADMINISTRATIVO CON DERECHO Y UNIFORMES PARA LOS CONDUCTORES DE LA ENTIDAD, A TRAVÉS DEL ACUERDO MARCO DE PRECIOS NO CCE-456-1-AMP-2016 DEL 5 DE DICIEMBRE DE 2016</t>
  </si>
  <si>
    <t>D GERARD M G S A S</t>
  </si>
  <si>
    <t>DOTACIÓN DE CALZADO PARA EL PERSONAL ADMINISTRATIVO CON DERECHO Y CONDUCTORES DE LA SECRETARIA DISTRITAL DE GOBIERNO</t>
  </si>
  <si>
    <t>ADQUIRIR LA RENOVACIÓN DEL LICENCIAMIENTO Y ACTUALIZACIÓN PARA LA SOLUCIÓN DE SEGURIDAD PERIMETRAL - FORTINET DE LA SECRETARIA DE GOBIERNO</t>
  </si>
  <si>
    <t>ADQUISICIÓN DE UN (1) CERTIFICADOS DIGITALES SSL TIPO WILCARD CON VIGENCIA DE TRES (3) AÑOS</t>
  </si>
  <si>
    <t>RENOVACIÓN DEL LICENCIAMIENTO Y ACTUALIZACIÓN PARA LA SOLUCIÓN DE BACKUP (COPIAS DE SEGURIDAD) PARA LA SECRETARIA DISTRITAL DE GOBIERNO</t>
  </si>
  <si>
    <t>ADICION Y PRORROGA NO. 1 AL CONTRATO DE ARRENDAMIENTO NO. 5 DE 2017</t>
  </si>
  <si>
    <t>FACTURA 2660552911</t>
  </si>
  <si>
    <t>FACTURA 2660552491</t>
  </si>
  <si>
    <t>FACTURA 8510434817</t>
  </si>
  <si>
    <t>FACTURA 7830049313</t>
  </si>
  <si>
    <t>FACTURA 7830037516</t>
  </si>
  <si>
    <t>FACTURA 5788003910</t>
  </si>
  <si>
    <t>FACTURA 2386760121</t>
  </si>
  <si>
    <t>FACTURA 5787988319</t>
  </si>
  <si>
    <t>INSPECCIONES DE POLICIA RAFAEL URIBEPERIODO FACTURADO 19 DE FEBRERO AL 20 DE ABRIL DE 2017FACTURA DE SERVICIOS PUBLICOS NO. 26605529119TOTAL A PAGAR  $  74.640</t>
  </si>
  <si>
    <t>INSPECCIONES DE POLICIA ANTONIO NARIÑOPERIODO FACTURADO 19 DE FEBRERO AL 20 DE ABRIL DE 2017FACTURA DE SERVICIOS PUBLICOS NO. 26605524912TOTAL A PAGAR  $  1.035.050</t>
  </si>
  <si>
    <t>INSPECCIONES DE POLICIA DE FONTIBONPERIODO FACTURADO 19 DE FEBRERO AL 20 DE ABRIL DE 2017FACTURA DE SERVICIOS PUBLICOS NO. 8510434817TOTAL A PAGAR  $ 74.640</t>
  </si>
  <si>
    <t>DIFICIO FURATENAPERIODO FACTURADO  20 DE FEBRERO AL 20  DE ABRIL DE 2017FACTURA DE SERVICIOS PUBLICOS NO. 7830049313VALOR A PAGAR    $ 284.853</t>
  </si>
  <si>
    <t xml:space="preserve"> INSPECCIONES DE POLICIA DE CHAPINEROPERIODO FACTURADO 19 DE FEBRERO AL 20 DE ABRIL DE 2017FACTURA DE SERVICIOS PUBLICOS NO. 7830037516TOTAL A PAGAR  $ 74.640</t>
  </si>
  <si>
    <t>CONSEJO DE JUSTICIA DE TEUSAQUILLOPERIODO FACTURADO   19 DE FEBRERO   AL 20 DE ABRIL DE 2017FACTURA DE SERVICIOS PUBLICOS NO. 5788003910TOTAL A PAGAR   $ 74.640</t>
  </si>
  <si>
    <t xml:space="preserve"> INSPECCIONED DE POLICIA DE BARRIOS UNIDOSPERIODO FACTURADO 19 DE FEBRERO A ABRIL 20 2017FACTURA DE SERVICIOS PUBLICOS  NO.  23867601215TOTAL A PAGAR  $   194.380</t>
  </si>
  <si>
    <t>CONSEJO DE JUSTICIAPERIODO FACTURADO  19 DE FEBRERO AL 20 DE ABRIL DE 2017FACTURA DE SERVICIOS PUBLICOS NO. 5787988319VALOR A PAGAR   $ 831.400</t>
  </si>
  <si>
    <t>FACTURA 238246622</t>
  </si>
  <si>
    <t>TELEFONIA LOCAL, LARGA DISTANCIA, INTERNET Y DATOS, ALIANZAS ETB Y OTROS OPERADORES DE LAS DEPENDENCIAS DE LA SECRETARIA DISTRITAL DE GOBIERNOPERIODO DE CONSUMO MAYO 01 AL 31 DE 2017TOTAL A PAGAR $15.245.390</t>
  </si>
  <si>
    <t>CAPACITACIÓN DIRIGIDO A LOS SERVIDORES PUBLICOS DE LA SECRETARIA DISTRITAL DE GOBIERNO EN LAS SIGUIENTES TEMATICAS: NUEVO CÓDIGO DE POLICIA Y CONVIVENCIA, CONTRATACIÓN ESTATAL, NORMAS INTERNACIONALES DE CONTABILIDAD PARA EL SECTOR PÚBLICO, ESTRUCTURACIÓN Y SEGUIMIENTO DE POLITICAS PÚBLICAS DISTRITALES, AUDITORES INTEGRALES INTERNOS, CURSO DE EXPRESIÓN  Y GRAMÁTICA EFICAZ, CONFORME A LO ESTABLECIDO EN EL ANEXO TÉCNICO</t>
  </si>
  <si>
    <t>CENTRO DE RECURSOS EDUCATIVOS PARA LA COMPETITIVIDAD EMPRESARIAL LTDA</t>
  </si>
  <si>
    <t>C.P.S. 524</t>
  </si>
  <si>
    <t>DESARROLLO DE LAS ACTIVIDADES DE RECONOCIMIENTO, RECREATIVAS, VOCACIONALES, DEPORTIVAS Y CULTURALES INCLUIDAS EN EL PLAN DE BIENESTAR DE LA SECRETARÍA DISTRITAL DE GOBIERNO, PARA LOS SERVIDORES PÚBLICOS Y SU NÚCLEO FAMILIAR, EN SUS DIFERENTES CONTEXTOS</t>
  </si>
  <si>
    <t>CORPORACION DE TURISMO Y ACTIVIDADES CULTURALES DE COLOMBIA A&amp;C DE COLOMBIA</t>
  </si>
  <si>
    <t>SERVICIO DE INTERVENCIÓN EN RIESGO PSICOSOCIAL DE UN TOTAL DE 200 SERVIDORES DE LA SECRETARÍA DISTRITAL DE GOBIERNO, CON BASE EN LO ESTABLECIDO EN LAS ESPECIFICACIONES TÉCNICAS</t>
  </si>
  <si>
    <t>SERVICIOS DE SALUD PARA REALIZAR EXAMENES MÉDICOS OCUPACIONALES DE INGRESO, POST INCAPACIDAD, POR CAMBIO DE OCUPACION Y DE EGRESO A LOS SERVIDORES ADSCRITOS A LA PLANTA DE PERSONAL Y AQUELLOS CONTRATISTAS A QUIENES APLIQUE DE LA SECRETARÍA DISTRITAL DE GOBIERNO.</t>
  </si>
  <si>
    <t>RESOL 328</t>
  </si>
  <si>
    <t>PAGO INDEXACIÓN DE LA OBLIGACIÓN ORIGINADA CON OCASIÓN DE LA SENTENCIA PROFERIDA DENTRO DEL PROCESO NO. 1999-4557 A FAVOR DE COLPENSIONES LUEGO DE LA RECLAMACIÓN REALIZADA.ARTICULO PRIMERO.  ORDENESE A LA DIRECCION FINANCIERA DE LA SECRETARIA DISTRITAL DE GOBIERNO PAGAR LA SUMA NETA DE VEINTIUN MILLONES SETECIENTOS TRES MIL TREINTA PESOS ($21.703.030)  M/CTE. A LA ADMINISTRADORA COLOMBIANA DE PENSIONES - COLPENSIONES,  IDENTIFICADA CON  NIT 900.336.004-7,  DE CONFORMIDAD CON EL EXPUESTO EN LA PARTE MOTIVA.</t>
  </si>
  <si>
    <t>ADMINISTRADORA COLOMBIANA DE PENSIONES COLPENSIONES</t>
  </si>
  <si>
    <t>RA 34</t>
  </si>
  <si>
    <t>NOMINA EXTRA JUNIO</t>
  </si>
  <si>
    <t>RESOL 381</t>
  </si>
  <si>
    <t>C.P.S. 535</t>
  </si>
  <si>
    <t>C.P.S. 536</t>
  </si>
  <si>
    <t>C.P.S. 537</t>
  </si>
  <si>
    <t>C.P.S. 538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</si>
  <si>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MAYO DE 2017 Y DEL TIEMPO EXCEDIDO DURANTE EL SERVICIO</t>
  </si>
  <si>
    <t>SERVICIOS PROFESIONALES EN LA PROYECCIÓN, SEGUIMIENTO Y EJECUCIÓN DE LOS PROCESOS, PROCEDIMIENTOS Y ACTIVIDADES PROPIAS DE LA DIRECCIÓN FINANCIERA</t>
  </si>
  <si>
    <t>RA 33</t>
  </si>
  <si>
    <t>PAGO DE LA AUTOLIQUIDQACIÓN DE LA NÓMINA GENERAL DE MAYO DE 2017.</t>
  </si>
  <si>
    <t>3-1-2-02-02</t>
  </si>
  <si>
    <t>Viáticos y Gastos de Viaje</t>
  </si>
  <si>
    <t>RESOL 357</t>
  </si>
  <si>
    <t>RESOL 360</t>
  </si>
  <si>
    <t>RESOL 363</t>
  </si>
  <si>
    <t>RESOL 368</t>
  </si>
  <si>
    <t>RESOL 369</t>
  </si>
  <si>
    <t>RESOL 376</t>
  </si>
  <si>
    <t>RECONOCER Y PAGAR VIATICOS Y GASTOS DE VIAJE  A FUNCIONARIOS DE LA SECRETARIA DE GOBIERNO QUE SE DESPLACEN A CIUDADES CAPITALES CON EL FIN DE CONOCER LA IMPLEMENTACION DE LA LEY 1801 DE 2016</t>
  </si>
  <si>
    <t>WILLIAM MAURICIO OCHOA CARREÑO</t>
  </si>
  <si>
    <t>ADRIANA LUCIA JIMENEZ RODRIGUEZ</t>
  </si>
  <si>
    <t>MANUEL ERNESTO SALAZAR PEREZ</t>
  </si>
  <si>
    <t>LUBAR ANDRES  CHAPARRO CABRA</t>
  </si>
  <si>
    <t>RAFAEL ANTONIO RODRIGUEZ MONTENEGRO</t>
  </si>
  <si>
    <t>IVAN ELIECER CASAS RUIZ</t>
  </si>
  <si>
    <t>3.1.2.02.02</t>
  </si>
  <si>
    <t>Viáticos y Gastos de viajes</t>
  </si>
  <si>
    <t>C.P.S 547</t>
  </si>
  <si>
    <t>C.P.S. 548</t>
  </si>
  <si>
    <t>GESTION DE SEGURIDAD ELECTRONICA S.A</t>
  </si>
  <si>
    <t>EQUIPOS PROGRAMAS MANTENIMIENTO MICRODATA LTDA</t>
  </si>
  <si>
    <t>PRESTAR LOS SERVICIOS DE CENTRO DE SOPORTE - HELP DESK, PARA LA GESTIÓN DE REQUERIMIENTOS, INCIDENTES, SOPORTE, MANTENIMIENTO PREVENTIVO Y MANTENIMIENTO CORRECTIVO DE EQUIPOS TECNOLÓGICOS, CON EL FIN DE DAR UNA ADECUADA GESTIÓN DE SERVICIOS EN LA SECRETARÍA DISTRITAL DE GOBIERNO</t>
  </si>
  <si>
    <t>CERTIFICADOS DIGITALES SSL TIPO WILCARD CON VIGENCIA DE TRES (3) AÑOS</t>
  </si>
  <si>
    <t xml:space="preserve">ARRENDAMIENTO DE VEINTIÚN (21) IMPRESORAS NUEVAS, </t>
  </si>
  <si>
    <t>MANTENIMIENTO PREVENTIVO Y CORRECTIVO DE LOS SISTEMAS DE DETECCIÓN, ALARMA Y EXTINCIÓN DE INCENDIOS, CONTROL DE ACCESO Y CIRCUITO CERRADO DE CÁMARAS DE TELEVISIÓN</t>
  </si>
  <si>
    <t xml:space="preserve">SUMINISTRO DE TÓNER, ORIGINALES Y REMANUFACTURADOS PARA LAS IMPRESORAS </t>
  </si>
  <si>
    <t>ADICIÓN Y PRORROGA DEL CONTRATO NO. 775 DE 2016</t>
  </si>
  <si>
    <t>FACTURA 53300315</t>
  </si>
  <si>
    <t>SERVICIO DE TELEVISION  PLAN BRONCE MAX Y ALQUILER DECODIFICADOR -   SECRETARIA DISTRITAL DE GOBIERNOPERIODO FACTURADO DEL 12 DE JULIO AL 11 DE AGOSTO DE 2017TOTAL A PAGAR $102.600</t>
  </si>
  <si>
    <t>C.O. 554</t>
  </si>
  <si>
    <t>C.P.S. 587-16</t>
  </si>
  <si>
    <t>ADICION NO. 1 Y PRORROGA NO. 2  C.P.S.  NO. 587 DE 2016</t>
  </si>
  <si>
    <t>MANTENIMIENTO PREVENTIVO, CORRECTIVO, OBRAS DE MEJORA Y REPARACIONES LOCATIVAS QUE SE REQUIERAN EN LAS INSTALACIONES DE LAS DEPENDENCIAS DEL NIVEL CENTRAL DE LA SECRETARÍA DISTRITAL DE GOBIERNO Y POR LOS QUE SEA O LLEGARE A SER LEGALMENTE RESPONSABLE</t>
  </si>
  <si>
    <t>LUIS GUIOVANNY JIMENEZ MORA</t>
  </si>
  <si>
    <t>GUSTAVO ADOLFO TORRES DUARTE</t>
  </si>
  <si>
    <t>FACTURA 4721349328</t>
  </si>
  <si>
    <t>FACTURA 4725638140</t>
  </si>
  <si>
    <t>FACTURA 4713571421</t>
  </si>
  <si>
    <t>FACTURA 4745744688</t>
  </si>
  <si>
    <t>FACTURA 4739212052</t>
  </si>
  <si>
    <t>COMPROBANTE  1615767800</t>
  </si>
  <si>
    <t>COMPROBANTE 1615602466</t>
  </si>
  <si>
    <t>INSPECCIONES DE POLICIA DE BARRIOS UNIDOS.PERIODO FACTURADO  18 DE MAYO AL 20 DE JUNIO DE 2017FACTURA DE SERVICIOS PUBLICOS NO. 472134932-8TOTAL A PAGAR  $  763.680</t>
  </si>
  <si>
    <t>KR 22 NO. 66A 14 BODEGA PARA ALMACEN GENERALPERIODO FACTURADO 23 DE MAYO AL 23 DE JUNIO DE 2017FACTURA DE SERVICIOS PUBLICOS NO. 472563814-0TOTAL A PAGAR  $ 54.260</t>
  </si>
  <si>
    <t>INSPECCIÓN DE POLICIA Y ALCALDIA CHAPINEROPERIODO FACTURADO DEL 11 DE MAYO AL 12 DE JUNIO DE 2017TOTAL A PAGAR $703.700</t>
  </si>
  <si>
    <t>KR 12 N°. 8 - 53 - SECRETARIA DISTRITAL DE GOBIERNOPERIODO FACTURADO DEL 09 DE JUNIO AL 10 DE JULIO DE 2017TOTAL A PAGAR $1.102.950</t>
  </si>
  <si>
    <t>INSPECCIONES DE POLICIA DE CHAPINERO.PERIODO FACTURADO 12 DE JUNIO AL 12 DE JULIO DE 2017NUMERO DE CUENTA  2020061-6NO. DE COMPROBANTE  161576780-0TOTAL A PAGAR  $  589.833</t>
  </si>
  <si>
    <t>EDIFICIO BICENTENARIOPERIODO FACTURADO 9 DE JUNIO AL 10 DE JULIO 2017NO. DE COMPROBANTE.  161560246-6TOTAL A  PAGAR  $  23.956.067</t>
  </si>
  <si>
    <t>INSPECCIONES DE POLICIA DE FONTIBONPERIODO FACTURADO 7  DE JUNIO AL  06 DE JULIO DE 2017FACTURA DE SERVICIOS PUBLICOS NO.  473921205-2 TOTAL A PAGAR   $ 285.790</t>
  </si>
  <si>
    <t>FACTURA 8013</t>
  </si>
  <si>
    <t>CORREGIDURIA DE  PASQUILLA.PERIODO FACTURADO  JUNIO DE 2017TOTAL A PAGAR  $ 20.365FACTURA DE VENTA NO.  APC 8013</t>
  </si>
  <si>
    <t xml:space="preserve"> INSPECCIONES DE POLICIA DE BARRIOS UNIDOS.PERIODO FACTURADO  MARZO 18  A 17 DE MAYO DE 2017FACTURA DE SERVICIOS PUBLICOS NO. 5789610515TOTAL A PAGAR  $  168.320</t>
  </si>
  <si>
    <t>INSPECCIONES DE POLICIA DE CHAPINEROPERIODO FCTURADO  18 DE MARZO AL  17 DE MAYO DE 2017FACTURA DE SERVICIOS PUBLICOS NO.  5789610416TOTAL A PAGAR $ 4.409.890</t>
  </si>
  <si>
    <t>FACTURA 239438303</t>
  </si>
  <si>
    <t>TELEFONIA LOCAL, LARGA DISTANCIA, INTERNET Y DATOS, ALIANZAS ETB Y OTROS OPERADORES DE LAS DEPENDENCIAS DE LA SECRETARIA DISTRITAL DE GOBIERNOPERIODO DE CONSUMO JUNIO 01 AL 30 DE 2017TOTAL A PAGAR $14.648.580</t>
  </si>
  <si>
    <t>ACEP.O. 557</t>
  </si>
  <si>
    <t>RIESGO PSICOSOCIAL DE UN TOTAL DE 200 SERVIDORES DE LA SECRETARÍA DISTRITAL DE GOBIERNO, CON BASE EN LO ESTABLECIDO EN LAS ESPECIFICACIONES TÉCNICAS</t>
  </si>
  <si>
    <t>DIZA PRIME LTDA</t>
  </si>
  <si>
    <t>RESOL 395</t>
  </si>
  <si>
    <t>PAGO DE SENTENCIA PROFERIDA DENTRO DEL PROCESO DE NULIDAD Y RESTABLECIMIENTO DEL DERECHO N 2015-00704 A NOMBRE DE LA SEÑORA LILIANA PAOLA GUTIERREZ.ARTICULO  1°. ORDENESE A LA DIRECCION FINANCIERA DE LA SECRETARIA DISTRITAL DE GOBIERNO DAR CUMPLIMIENTO A LA SENTENCIA PROFERIDA EL 12 DE JULIO DE 2016 POR EL JUZGADO VEINTIDOS ADMINISTRATIVO DE ORALIDAD DEL CIRCUITO JUDICIAL DE BOGOTA, D.C., DENTRO DEL PROCESO CON RADICACION NUMERO:  11001-33-35-022-2015-00704-00 DE LILIANA PAOLA GUTIERREZ RODRIGUEZ CONTRA ALCALDIA MAYOR DE BOGOTA - SECRETARIA DE GOBIERNO.ARTICULO 2°: ORDENESE A LA DIRECCIN FINANCIERA DE LA SECRETARIA DISTRITAL DE GOBIERNO PAGAR LA SUMA NETA DE VEINTICINCO MILLONES CIENTO ONCE MIL CUATROCIENTOS SESENTA Y TRES PESOS  ( $ 25.111.463),  CONSIGNANDOLE EN LA CUENTA DE AHORROS NO. 006680454011 DEL BANCO DAVIVIENDA A NOMBRE DE LILIANA PAOLA GUTIERREZ RODRIGUEZ,  IDENTIFICADA CON CEDULA DE CIUDADANIA NO. 1.033.687.264,  POR CONCEPTO DE SENTENCIA A QUE SE REFIERE EL ARITULO 1° DE LA PRESENTE RESOLUCION.ARTICULO 3°: ORDENESE A LA DIRECCION FINANCIERA DE LA SECRETARIA DISTRITAL DE GOBIERNO PAGAR LA SUMA DE DIECISEIS MILLONES CUATROCIENTOS SETENTA Y UN MIL QUINIENTOS PESOS  ( $16.471.500) CONFORME A LO DISPUESTO EN LA SENTENCIA REFERIDA, POR CONCEPTO DE APORTES A SEGURIDAD SOCIAL  (SALUD Y PENSION), EN LA PROPORCION QUE CORRESPONDA AL EMPLEADOR</t>
  </si>
  <si>
    <t>LILIANA PAOLA GUTIERREZ RODRIGUEZ</t>
  </si>
  <si>
    <t>RA 35</t>
  </si>
  <si>
    <t>PAGO DE LOS APORTES DE LA SEGURIDAD SOCIAL DEL MES JUNIO DE 2017</t>
  </si>
  <si>
    <t>RA 36</t>
  </si>
  <si>
    <t>NOMINA JULIO</t>
  </si>
  <si>
    <t>O.C 560</t>
  </si>
  <si>
    <t>CONTRATAR EL SERVICIO DE ARRENDAMIENTO DE VEINTIÚN (21) IMPRESORAS NUEVAS</t>
  </si>
  <si>
    <t>PROINTECH COLOMBIA SAS</t>
  </si>
  <si>
    <t>FACTURA 4742521989</t>
  </si>
  <si>
    <t>LOCALIDAD DE TEUSAQUILLOPERIODO FACTURADO DEL 09 DE JUNIO AL 10 DE JULIO DE 2017TOTAL A PAGAR $398.090</t>
  </si>
  <si>
    <t>ADQUIRIR E INSTALAR LA SEÑALIZACIÓN INDUSTRIAL E INFORMATIVA PARA ALGUNAS SEDES DE TRABAJO Y/O INSTALACIONES DE LA SECRETARÍA DISTRITAL DE GOBIERNO</t>
  </si>
  <si>
    <t>CONTRATAR EL SERVICIO DE CONTROL VECTORIAL CONSISTENTE EN DOS (2) INTERVENCIONES DE DESINSECTACIÓN, DESINFECCIÓN Y DESRATIZACIÓN</t>
  </si>
  <si>
    <t>PAGO POR CONCEPTO DE SEGURIDAD SOCIAL INTEGRAL Y APORTES PARAFISCALES EN VIRTUD A LO ORDENADO EN SENTENCIA PROFERIDA DENTRO DEL PROCESO DE NULIDAD Y RESTABLECIMIENTO DEL DERECHO No. 2013-00108, DEMANDANTE ANDRÉS FELIPE PATIÑO</t>
  </si>
  <si>
    <t>PAGO POR CONCEPTO DE SEGURIDAD SOCIAL INTEGRAL Y APORTES PARAFISCALES EN VIRTUD A LO ORDENADO EN SENTENCIA PROFERIDA DENTRO DEL PROCESO DE NULIDAD Y RESTABLECIMIENTO DEL DERECHO No. 2015-00358, DEMANDANTE FRANCISCO CHACÓN CHACÓN</t>
  </si>
  <si>
    <t>C.P.S. 556</t>
  </si>
  <si>
    <t>C.P.S. 559</t>
  </si>
  <si>
    <t>PRESTAR SERVICIOS PROFESIONALES EN LA PROYECCIÓN, SEGUIMIENTO Y EJECUCIÓN DE LOS PROCESOS, PROCEDIMIENTOS Y ACTIVIDADES PROPIAS DE LA DIRECCIÓN FINANCIERA</t>
  </si>
  <si>
    <t>HECTOR JULIO SICHACA CASTELBLANCO</t>
  </si>
  <si>
    <t>NELSY LIDIA CRUZ SUAREZ</t>
  </si>
  <si>
    <t>A.O. 562</t>
  </si>
  <si>
    <t>REALIZAR EL MANTENIMIENTO PREVENTIVO Y CORRECTIVO DE LOS SISTEMAS DE DETECCIÓN, ALARMA Y EXTINCIÓN DE INCENDIOS, CONTROL DE ACCESO Y CIRCUITO CERRADO DE CÁMARAS DE TELEVISIÓN DEL CENTRO DE DATOS Y CUARTOS TÉCNICOS DE LA SECRETARÍA DISTRITAL DE GOBIERNO, UBICADOS EN EL EDIFICIO BICENTENARIO</t>
  </si>
  <si>
    <t>HIGH SECURITY TECHNOLOGY S A S</t>
  </si>
  <si>
    <t>O.C. 568</t>
  </si>
  <si>
    <t>C. CV. 575</t>
  </si>
  <si>
    <t>C.P.S. 775</t>
  </si>
  <si>
    <t>REALIZAR LA RENOVACIÓN DEL LICENCIAMIENTO Y ACTUALIZACIÓN PARA LA SOLUCIÓN DE BACKUP (COPIAS DE SEGURIDAD) PARA LA SECRETARIA DISTRITAL DE GOBIERNO</t>
  </si>
  <si>
    <t xml:space="preserve"> SUSCRIPCIÓN A UN PROGRAMA DE MANTENIMIENTO, ACTUALIZACIÓN Y SOPORTE TÉCNICO PREMIUM DE LAS LICENCIAS DE SOFTWARE DE LA PLATAFORMA ESRI CON QUE CUENTA LA SECRETARÍA DISTRITAL DE GOBIERNO, A TRAVÉS DEL ACUERDO MARCO DE PRECIOS NO. CCE-288-AG-2015</t>
  </si>
  <si>
    <t>ADICIÓN NO. 1 Y PRORROGA NO. 1 DEL CONTRATODE PRESTACION DE SERVICIOS NO. 775 DE 2016 S</t>
  </si>
  <si>
    <t>ESRI COLOMBIA SAS</t>
  </si>
  <si>
    <t>GAMMA INGENIEROS S.A.S</t>
  </si>
  <si>
    <t>INGEAL S A</t>
  </si>
  <si>
    <t>UNION TEMPORAL SANOLIVAR  TERASYS ACTUALIZACION BACKUP</t>
  </si>
  <si>
    <t>14-AUG-17</t>
  </si>
  <si>
    <t xml:space="preserve">MANTENIMIENTO PREVENTIVO Y CORRECTIVO A LOS SISTEMAS ININTERRUMPIDOS DE ENERGÍA ELÉCTRICA (UPS) </t>
  </si>
  <si>
    <t xml:space="preserve">MANTENIMIENTO PREVENTIVO - CORRECTIVO Y DE ACTUALIZACIÓN A LA PLATAFORMA DE TELECOMUNICACIONES UNIFY </t>
  </si>
  <si>
    <t>TRASLADO PRESUPUESTAL</t>
  </si>
  <si>
    <t>TERCER REEMBOLSO CAJA MENOR DIRECCION ADMINISTRATIVA</t>
  </si>
  <si>
    <t>FACTURA 53862745</t>
  </si>
  <si>
    <t>C.P.S. 573</t>
  </si>
  <si>
    <t>SERVICIO DE TELEVISION POR CABLE PARA LAS DEPENDENCIAS DEL NIVEL CENTRAL DE LA SDG.  CALLE 11 8 17 92PERIODO FACTURADO 12 AGOSTO AL 11 DE SEPTIEMBRE DE 2017FACTURA DE VENTA NO. 53862745TOTAL A PAGAR  $  102.600</t>
  </si>
  <si>
    <t>PRESTACIÓN DEL SERVICIO DE TRANSPORTE PÚBLICO TERRESTRE AUTOMOTOR ESPECIAL PARA LOS PROYECTOS Y LAS DEPENDENCIAS DEL NIVEL CENTRAL DE LA SECRETARÍA DISTRITAL DE GOBIERNO</t>
  </si>
  <si>
    <t>MANTENIMIENTO PREVENTIVO - CORRECTIVO Y DE ACTUALIZACIÓN A LA PLATAFORMA DE TELECOMUNICACIONES UNIFY DE LA SECRETARÍA DISTRITAL DE GOBIERNO</t>
  </si>
  <si>
    <t>A.O. 578</t>
  </si>
  <si>
    <t>PUBLICACIÓN DE AVISOS MORTUORIOS, SENTENCIAS Y DEMÁS DIVULGACIONES QUE REQUIERAN EFECTUAR</t>
  </si>
  <si>
    <t>CASSA CREATIVA S A S</t>
  </si>
  <si>
    <t>CONT. SEGUROS 377</t>
  </si>
  <si>
    <t xml:space="preserve">ADICION NO. 2 Y PRORROGA NO. 1 AL CONTRATO DE SEGUROS NO. 377 DE 2016 </t>
  </si>
  <si>
    <t>COMPROBANTE 1616523197</t>
  </si>
  <si>
    <t>FACTURA 4758181948</t>
  </si>
  <si>
    <t>FACTURA 4761358391</t>
  </si>
  <si>
    <t>FACTURA 4753865413</t>
  </si>
  <si>
    <t>FACTURA 4778274204</t>
  </si>
  <si>
    <t>FACTURA 4772336640</t>
  </si>
  <si>
    <t>COMPROBANTE1617171075</t>
  </si>
  <si>
    <t>CALLE 119  NO. 6-56.COMPROBANTE DE SERVICIO PÚBLICO NO. 161522319-7PERIODO FACTURADOS ENERO 2014 A JULIO DE 2017VALOR A PAGAR  $ 1.163.830</t>
  </si>
  <si>
    <t>ALMACEN GENERAL DE LA SECRETARIA DE GOBIERNOPERIODO FACTURADO:  23 DE JUNIO AL 25 DE JULIO DE 2017FACTURA DE SERVICIOS PUBLICOS NO. 475818194-8TOTAL A PAGAR  $  54.270</t>
  </si>
  <si>
    <t>CONSEJO DE JUSTICIA DE TEUSAQUILLOPERIODO FACTURADO  27 DE JUNIO AL 27 DE JULIO DE 2017FACTURA DE SERVICIOS PUBLICOS NO. 476135839-1TOTAL A PAGAR   $ 162.240</t>
  </si>
  <si>
    <t>INSPECCIONES DE POLICIA DE BARRIOS UNIDOSPERIODO FACTURADO 20 DE JUNIO AL 19 DE JULIO DE 2017FACTURA DE SERVICIOS PUBLICOS NO. 475386541-3TOTAL A PAGAR  $ 637.010</t>
  </si>
  <si>
    <t>NIVEL CENTRAL DE LA SDG.CL 12 C 8-53  EDIFICIO FURATENAPERIODO FACTURADO 10 DE JULIO AL 09 DE AGOSTO DE 2017FACTURA DE SERVICIOS PUBLICOS NO. 477827420-4TOTAL A PAGAR  $ 1.105.870</t>
  </si>
  <si>
    <t>KR 75 NO. 23 F -07PERIODO FACTURADO  6 DE JULIO AL 04 DE AGOSTO DE 2017FACTURA DE SERVICIOS PUBLICOS NO. 477233664-0VALOR A PAGAR  $ 308.110</t>
  </si>
  <si>
    <t>NIVEL CENTRAL 50%  SEGUN CONVENIO DE PAGO DEL PREDIO  KRA 8 NO. 10-65 ALCALDIA MAYOR DE BOGOTA.PERIODO FACTURADO 10 DE JULIO AL 9 DE AGOSTO DE 2017NO. DE COMPROBANTE  161717107-5TOTAL A PAGAR  $ 24.734.673</t>
  </si>
  <si>
    <t>FACTURA 8226</t>
  </si>
  <si>
    <t>FACTURA 7831397513</t>
  </si>
  <si>
    <t>CORREGIDURIA DE PASQUILLA.. INSPECCIONES DE POLICIA DE CIUDAD BOLIVARPERIODO DE CONSUMO 1 DE JULIA AL 30 DE JULIO 2017FACTURA DE VENTA  NO.  APC 8226TOTAL A PAGAR  $ 19.128</t>
  </si>
  <si>
    <t>CL 122 7A 61PERIODO FACTURADO  MARZO 18 A MAYO 17 DE 2017FACTURA DE SERVICIOS PUBLICOS NO. 7831397513TOTAL A PAGAR  $ 158.650</t>
  </si>
  <si>
    <t>FACTURA 240678328</t>
  </si>
  <si>
    <t>NIVEL CENTRAL DE LA SDG. EDIFICIO BICENTENERIO CALLE 11 NO. 8-73PERIODO FACTURADO, JULIO 01 AL 31FACTURA NUMERO 0002540678328VALOR TOTAL A PAGAR  $  14.469.840</t>
  </si>
  <si>
    <t>C.P.S. 815</t>
  </si>
  <si>
    <t>ADICION NO. 1 CONTRATO DE PRESTACION DE SERVICIOS DE ALIMENTOS INCLUIDO EL SERVICIO DE CATERING  NO. 815 DE 2016</t>
  </si>
  <si>
    <t>ESPACIO NATURAL LTDA</t>
  </si>
  <si>
    <t>A.O. 569</t>
  </si>
  <si>
    <t>CONTROL VECTORIAL CONSISTENTE EN DOS (2) INTERVENCIONES DE DESINSECTACIÓN, DESINFECCIÓN Y DESRATIZACIÓN, EN LAS INSTALACIONES ASIGNADAS PARA EL FUNCIONAMIENTO DE LA SECRETARÍA DISTRITAL DE GOBIERNO</t>
  </si>
  <si>
    <t>GLOBAL SANEAMIENTO AMBIENTAL LIMITADA.</t>
  </si>
  <si>
    <t>ADQUIRIR SILLAS ERGONÓMICAS PARA LOS SERVIDORES PÚBLICOS DE PLANTA DE PERSONAL QUE POR RECOMENDACIÓN MÉDICA REQUIEREN SER SUMINISTRADAS POR LA SECRETARÍA DISTRITAL DE GOBIERNO, PARA MEJORAR SU CONDICIÓN ACTUAL DE SALUD.</t>
  </si>
  <si>
    <t>RESOL 823</t>
  </si>
  <si>
    <t>RESOL 824</t>
  </si>
  <si>
    <t>RA 38</t>
  </si>
  <si>
    <t>NOMINA AGOSTO</t>
  </si>
  <si>
    <t>RESOL 830</t>
  </si>
  <si>
    <t>C.P.S. 572</t>
  </si>
  <si>
    <t>RECONOCIMIENTO Y PAGO DEL SERVICIO EXTRA PRESTADO POR LOS DELEGADOS EN EL MES DE JUNIO DE 2017 Y DEL TIEMPO EXCEDIDO DURANTE EL SERVICIO</t>
  </si>
  <si>
    <t>PROYECCIÓN, SEGUIMIENTO Y EJECUCIÓN DE LOS PROCESOS, PROCEDIMIENTOS Y ACTIVIDADES PROPIAS DE LA DIRECCIÓN FINANCIERA</t>
  </si>
  <si>
    <t>NANCY PAOLA BOLIVAR CUCHIA</t>
  </si>
  <si>
    <t>RA 39</t>
  </si>
  <si>
    <t>PAGO DE CESANTÍAS DEFINITIVAS A UNOS FUNCIONARIOS RETIRADOS DE LA ENTIDAD Y A QUIENES SE LES ESTÁ PAGANDO PRESTACIONES EN LA NÓMINA DE AGOSTO 2017.</t>
  </si>
  <si>
    <t>RA 37</t>
  </si>
  <si>
    <t>PAGO DE LA AUTOLIQUIDQACIÓN DE LA NÓMINA GENERAL DE JULIO DE 2017.</t>
  </si>
  <si>
    <t>A.O. 582</t>
  </si>
  <si>
    <t>ENTREGAR A TÍTULO DE COMPRAVENTA LAS ÓRDENES DE DOTACIÓN DE CALZADO PARA EL PERSONAL ADMINISTRATIVO CON DERECHO Y CONDUCTORES DE LA SECRETARIA DISTRITAL DE GOBIERNO</t>
  </si>
  <si>
    <t>SUPPLER S.A.S</t>
  </si>
  <si>
    <t>FACTURA 29190</t>
  </si>
  <si>
    <t>CERTIFICADO DIGITAL POR VIGENCIA DE 2 AÑOSDOS CERTIFICADO DIGITAL FUNCION PUBLICA CON VIGENCIA DE DOS AÑOS.FACTURA DE VENTA NO. 00029190TOTAL A PAGAR  $ 464.100</t>
  </si>
  <si>
    <t>FACTURA 9869</t>
  </si>
  <si>
    <t>PAGO SERVICIO DE AVANTEL PARA LAS DEPENDENCIAS DEL NIVEL CENTRALPERIODO COMPRENDIDO ENERO A JULIO DE 2017FACTURA CICLICA FMC 9869.TOTAL A PAGAR  $ 5.359.011</t>
  </si>
  <si>
    <t>FACTURA 4779102442</t>
  </si>
  <si>
    <t>INSPECCIONES DE POLICIA DE CHAPINERO.PERIODO FACTURADO 12 DE JULIO AL 11 DE AGOSTO DE 2017FACTURAS DE SERVICIOS PUBLICOS NOS. 477910244-2 Y 477910243-5TOTAL A PAGAR  $ 554.910</t>
  </si>
  <si>
    <t>FACTURA 3893203812</t>
  </si>
  <si>
    <t>FACTURA 9220045919</t>
  </si>
  <si>
    <t>FACTURA 9220046016</t>
  </si>
  <si>
    <t>FACTURA 4577651813</t>
  </si>
  <si>
    <t>FACTURA 4577652415</t>
  </si>
  <si>
    <t>FACTURA 4577651714</t>
  </si>
  <si>
    <t>FACTURA 4577652019</t>
  </si>
  <si>
    <t>CONSEJO DE JUSTICIA.PERIODO FACTURADO 18 DE MAYO AL 17 DE JULIO DE 2017.FACTURAS DE SERVICIOS PUBLICOS NOS.  23893203812, 23893203911, 23893204018, 23893204117, 23893204216,  23893204315, 23893204414, 23893204513, 23893204612, 23893204711 Y 23893204810.TOTAL A PAGAR  $ 6.175.180</t>
  </si>
  <si>
    <t>INSPECCIONES DE POLICIA DE CHAPINERO PERIODO FACTURADO  MAYO 18  A JULIO 17 DE 2017FACTURA DE SERVICIOS PUBLICOS NO.  9220045919TOTAL A PAGAR   $ 4.289.120</t>
  </si>
  <si>
    <t>INSPECCIONES DE POLICIA DE BARRIOS UNIDOS.PERIODO FACTURADO 18 DE MAYO AL 17 DE JULIO DE 2017FACTURA DE SERVICIOS PUBLICOS NO. 9220046016TOTAL A PAGAR  $ 148.990</t>
  </si>
  <si>
    <t>INSPECCIONES DE POLICIA ANTONIO NARIÑOPERIODO FACTURADO MAYO 18 A JULIO 17 DE 2017FACTURA DE SERVICIOS PUBLICOS NO.  24577651813TOTAL A PAGAR  $ 231.120</t>
  </si>
  <si>
    <t>INSPECCIONES DE POLICIA DE FONTIBONPERIODO FACTURADO MAYO 18 A JULIO 17 DE 2017FACTURA DE SERVICIOS PUBLICOS NO. 24577652415TOTAL A PAGAR  $ 66870</t>
  </si>
  <si>
    <t>INSPECCIONES DE POLICIA DE RAFAEL URIBEPERIODO FACTURADO  MAYO 18A JULIO 17 DE 2017FACTURA DE SERVICIOS PUBLICOS NO. 24577651714TOTAL A PAGAR $ 1.037.890</t>
  </si>
  <si>
    <t>EDIFICIO FURATENAPERIODO FACTURADO MAYO 18 A JULIO 17 DE 2017FACTURA DE SERVICIOS PUBLICOS NO. 24577652019TOTAL A PAGAR $ 134.500</t>
  </si>
  <si>
    <t>FACTURA 5940099812</t>
  </si>
  <si>
    <t>FACTURA 5258863312</t>
  </si>
  <si>
    <t>FACTURA 7291471210</t>
  </si>
  <si>
    <t>FACTURA 7291467010</t>
  </si>
  <si>
    <t>FACTURA 183620512</t>
  </si>
  <si>
    <t>FACTURA 862133514</t>
  </si>
  <si>
    <t>FACTURA 5940111617</t>
  </si>
  <si>
    <t>INSPECCIONES DE POLICIA DE CHAPINERO.PERIODO FACTURADO  21 ABRIL A 17 DE JUNIO DE 2017FACTURA DE SERVICIOS PUBLICOS NUMERO  25940099812TOTAL A PAGAR  $ 69.880</t>
  </si>
  <si>
    <t>INSPECCIONES DE POLICIA DE BARRIOS UNIDOS.PERIODO FACTURADO  ABRIL 21 A JUNIO 17 DE 2017FACTURA DE SERVICIOS PUBLICOS NO. 25258863312TOTAL A PAGAR  $ 182.130</t>
  </si>
  <si>
    <t>INSPECCIONES DE POLICIA DE RAFAEL URIBE.PERIODO FACTURADO  ABRIL 21 A JUNIO 17 DE 2017FACTURA DE SERVICIOS PUBLICOS NO. 27291471210TOTAL A PAGAR  $ 69.880</t>
  </si>
  <si>
    <t>INSPECCIONES DE POLICIA DE ANTONIO NARIÑOPERIODO FACTURADO  ABRIL 21 A JUNIO 17 DE 2017FACTURA DE SERVICIOS PUBLICOS NO. 27291467010TOTAL A PAGAR  $ 977.090</t>
  </si>
  <si>
    <t>INSPECCIONES DE POLICIA DE FONTIBON.PERIODO FACTURADO  ABRIL 21 A JUNIO 17 DE 2017FACTURA DE SERVICIOS PUBLICOS NO. 7183620512TOTAL A PAGAR  $ 69.880</t>
  </si>
  <si>
    <t>CONSEJO DE  JUSTICIAPERIODO FACTURADO  ABRIL 21 A JUNIO 17 DE 2017FACTURA DE SERVICIOS PUBLICOS NO. 7862133514TOTAL A PAGAR $ 784.520</t>
  </si>
  <si>
    <t>EDIFICIO FURATENAPERIODO FACTURADO  ABRIL 21 A JUNO 17 DE 2017FACTURA DE SERVICIOS PUBLICOS NO. 25940111617TOTAL A PAGAR  $ 279.137</t>
  </si>
  <si>
    <t>RA 40</t>
  </si>
  <si>
    <t>NOMINA EXTRA AGOSTO</t>
  </si>
  <si>
    <t>O.C. 588</t>
  </si>
  <si>
    <t>O.C. 589</t>
  </si>
  <si>
    <t>SUMINISTRO DE TÓNER, ORIGINALES Y REMANUFACTURADOS PARA LAS IMPRESORAS EN SERVICIO DE LA SECRETARIA DISTRITAL DE GOBIERNO, A TRAVÉS DEL ACUERDO MARCO DE PRECIOS NO.  CCE-538-1-AMP-2017</t>
  </si>
  <si>
    <t>SISTEMAS Y DISTRIBUCIONES FORMACON LTDA</t>
  </si>
  <si>
    <t>LILIA FANNY GUEVARA PARRADO</t>
  </si>
  <si>
    <t>COMPROBANTE 1617680217</t>
  </si>
  <si>
    <t>CORREGIDURA PASQUILLA UBICADA EN LA VEREDA PASQUILLA, BARRIO BUENOS AIRESPERIODO FACTURADO DEL 06 DE FEBRERO AL 04 DE AGOSTO DE 2017TOTAL A PAGAR $1.797.270</t>
  </si>
  <si>
    <t>CUARTO REEMBOLSO CAJA MENOR DIRECCIÓN ADMINISTRATIVA</t>
  </si>
  <si>
    <t>FACTURA 54424937</t>
  </si>
  <si>
    <t>CALLE 11 8 17 PISO 2  EDIFICIO BICENTENARIO.PERIODO FACTURADO  12 DE SEPTIEMBRE AL 11 DE OCTUBRE DE 2017</t>
  </si>
  <si>
    <t>FACTURA 4790688468</t>
  </si>
  <si>
    <t>FACTURA 4795002930</t>
  </si>
  <si>
    <t>KR 22 NO 66A 14.  BODEGA PARA EL ALMACEN DE LA SECRETARIA DE GOBIERNO.PERIODO FACTURADO 25 DE JULIO AL 24 DE AGOSTO DE 2017FACTURA DE SERVICIOS PUBLICOS NO. 479068846-8TOTAL A PAGAR  $ 53.550</t>
  </si>
  <si>
    <t>CL 46 NO. 14 -22/28 CONSEJO DE JUSTICIA DE TEUSAQUILLO.PERIODO FACTURADO 27 DE JULIO AL 28 DE AGOSTO DE 2017FACTURA DE SERVICIOS PUBLICOS NO. 479500293-0TOTAL A PAGAR  $ 70.870</t>
  </si>
  <si>
    <t>FACTURA 7183796312</t>
  </si>
  <si>
    <t>FACTURA 1151350582</t>
  </si>
  <si>
    <t>FACTURA 7183691216</t>
  </si>
  <si>
    <t>FACTURA 8435</t>
  </si>
  <si>
    <t>INSPECCIÓN DE POLICIA DE USAQUEN, CL 122 7 A 61PERIODO FACTURADO DEL 18 DE MAYO AL 17 DE JULIO DE 2017TOTAL A PAGAR $313.090</t>
  </si>
  <si>
    <t>INSPECCIÓN DE POLICIA DE LOS MARTIRES - KR 21 14 75 PI APERIODO COMPRENDIDO ENTRE LOS MESES DE MAYO Y JULIO DE 2017.TOTAL A PAGAR $18.560</t>
  </si>
  <si>
    <t>CONSEJO DE JUSTICIA DE TEUSAQUILLO - CL 46 14 28PERIODO FACTURADO DEL 18 DE MAYO AL 17 DE JULIO DE 2017TOTAL A PAGAR $2.376.060</t>
  </si>
  <si>
    <t>INSPECCIÓN DE POLICIA DE LA LOCALIDAD DE CIUDAD BOLIVARPERIODO FACTURADO DEL 01  AL 30 DE AGOSTO DE 2017TOTAL A PAGAR $20.365</t>
  </si>
  <si>
    <t>FACTURA 2525885291</t>
  </si>
  <si>
    <t>FACTURA 2729147121</t>
  </si>
  <si>
    <t>FACTURA 8540612515</t>
  </si>
  <si>
    <t>FACTURA 862149114</t>
  </si>
  <si>
    <t>INSPECCIÓN DE POLICIA DE USAQUEN CL 122 7A 61PERIODO FACTURADO DEL 21 DE ABRIL AL 17 DE JUNIO DE 2017TOTAL A PAGAR $147.090</t>
  </si>
  <si>
    <t>INSPECCIÓN DE POLICIA Y ALCALDIA DE RAFAEL URIBE URIBE -CL 32 SUR 23 - 62PERIODO FACTURADO DEL 21 DE ABRIL AL 17 DE JUNIO  DE 2017TOTAL A PAGAR $69.880</t>
  </si>
  <si>
    <t>INSPECCIÓN DE POLICIA DE LOS MARTIRES - KR 21 14 75 PI APERIODO FACTURADO DEL 21 DE ABRIL AL 17 DE JUNIO DE 2017TOTAL A PAGAR $147.090</t>
  </si>
  <si>
    <t>CONSEJO DE JUSTICIA DE TEUSAQUILLO.PERIODO FACTURADO ABRIL 21 A JUNIO 17 DE 2017FACTURA DE SERVICIOS PUBLICO NO. 7862149114TOTAL A PAGAR   $ 69.880</t>
  </si>
  <si>
    <t>A. OFER. 590</t>
  </si>
  <si>
    <t>DIVIDISEÑOS S A S</t>
  </si>
  <si>
    <t>C.P.S. 591</t>
  </si>
  <si>
    <t>SEGUIMIENTO, MONITOREO Y CONTROL DE LAS FUNCIONES PROPIAS DE LA DEPENDENCIA.</t>
  </si>
  <si>
    <t>NANCY BEATRIZ MONTAÑEZ GOMEZ</t>
  </si>
  <si>
    <t xml:space="preserve">CDP POR COMPROMETER GASTOS DE FUNCIONAMIENTO </t>
  </si>
  <si>
    <t>TOTAL CDP POR COMPROMETER GASTOS GENERALES</t>
  </si>
  <si>
    <t>RP POR GIRAR GASTOS DE FUNCIONAMOIENTO</t>
  </si>
  <si>
    <t>TOTAL RP SIN GIRAR</t>
  </si>
  <si>
    <t>12 MESES</t>
  </si>
  <si>
    <t>PLAZO</t>
  </si>
  <si>
    <t>FECHA INICIAL</t>
  </si>
  <si>
    <t>FECHA FINAL</t>
  </si>
  <si>
    <t>6 MESES</t>
  </si>
  <si>
    <t>30 DIAS</t>
  </si>
  <si>
    <t>7 MESES</t>
  </si>
  <si>
    <t>C. CV. 579</t>
  </si>
  <si>
    <t>4 MESES</t>
  </si>
  <si>
    <t>11 MESES</t>
  </si>
  <si>
    <t>3 MESES</t>
  </si>
  <si>
    <t>8 MESES</t>
  </si>
  <si>
    <t>4 MESE 15 DIAS</t>
  </si>
  <si>
    <t>8 MESE 15 DIAS</t>
  </si>
  <si>
    <t>6 MESES 20 DIAS</t>
  </si>
  <si>
    <t>7 MESES 15 DIAS</t>
  </si>
  <si>
    <t>C.P.S. 526</t>
  </si>
  <si>
    <t>1 PAGO DEL 25 DE MAYO AL 30 DE JUNIO</t>
  </si>
  <si>
    <t>1 PAGO DEL 11 DE JUNIO AL 10 DE JULIO</t>
  </si>
  <si>
    <t>3 PAGOS ABRIL MAYO Y JULIO PROMEDIO $18,000,000</t>
  </si>
  <si>
    <t>1 PAGO ADICIÓN ABRIL</t>
  </si>
  <si>
    <t>3 PAGOS MAYO JUNIO Y JULIO PROMEDIO $50,000,000</t>
  </si>
  <si>
    <t>5 PAGOS MARZO A JULIO $57,000,000</t>
  </si>
  <si>
    <t>4 PAGOS ABRIL A JULIO $114,000,000</t>
  </si>
  <si>
    <t>2 PAGOS JUNIO Y JULIO</t>
  </si>
  <si>
    <t>1 PAGO DEL 04 DE JULIO AL 14 DE AGOSTO</t>
  </si>
  <si>
    <t xml:space="preserve">SUMINISTRO Y DISTRIBUCIÓN DE PRODUCTOS PAPELERÍA Y ÚTILES DE OFICINA PARA LAS DIFERENTES DEPENDENCIAS </t>
  </si>
  <si>
    <t>FACTURA 4795458994</t>
  </si>
  <si>
    <t>KR 94 146C 50  - CONSEJO DE JUSTICIA DE SUBAPERIODO FACTURADO DEL 27 DE JULIO AL 28 DE AGOSTO DE 2017TOTAL A PAGAR $271.010</t>
  </si>
  <si>
    <t>RESOL 912</t>
  </si>
  <si>
    <t>RESOL 911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</si>
  <si>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 AYALA BELTRAN PATRICIA ANDREA C.C. 52.934.818.</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</si>
  <si>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 BORDA CHOCONTA CARMENZA C.C. 51.946.847.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</si>
  <si>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CONTINUACIÓN:6. BOTERO JIMENEZ BERTHA LUCIA C.C. 51.590.877.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</si>
  <si>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CONTINUACIÓN:7. BUITRAGO GOMEZ DOLLY ESPERANZA C.C. 51.718.832.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</si>
  <si>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CONTINUACIÓN:8. CABARCAS UPARELA SONIA MARIA C.C. 22.517.964.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</si>
  <si>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CONTINUACIÓN:9. CADENA GARZON JOSE MARTIN C.C. 14.320.266.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</si>
  <si>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CONTINUACIÓN:10. CALDERON NUÑEZ RAFAEL ANTONIO C.C. 79.104432.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</si>
  <si>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CONTINUACIÓN:11. CASTRO RODRIGUEZ CLAUDIA C.C. 51.959.462.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</si>
  <si>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CONTINUACIÓN:12. CUBILLOS CARDENAS GUSTAVO C.C. 79.621.073.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</si>
  <si>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CONTINUACIÓN:13. FERRO LOMBANA MARCELA C.C. 52.789.037.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</si>
  <si>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CONTINUACIÓN:14. FORERO GAMBOA CLAUDIA PATRICIA C.C. 51.962.752.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</si>
  <si>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CONTINUACIÓN:15. FRANCO GALLEGO MARIA TERESITA C.C. 43.252.470.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</si>
  <si>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CONTINUACIÓN:16. GARCIA NIÑO MARIA DEISY C.C. 39.805.693.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</si>
  <si>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CONTINUACIÓN:17. GOMEZ LANDAZABAL LIGIA STELLA C.C. 39.757.687.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</si>
  <si>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CONTINUACIÓN:18. GOMEZ PUCHE HENRY LUIS C.C. 8.720.402.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</si>
  <si>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CONTINUACIÓN:19. GOMEZ SALAZAR ENRIQUE ADOLFO C.C. 12.997.799.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</si>
  <si>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CONTINUACIÓN:20. GONZALEZ DUARTE LUISA FERNANDA C.C. 52.497.302.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</si>
  <si>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CONTINUACIÓN:21. GUTIERREZ HERRERA HERMENCIA C.C. 51.717.273.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</si>
  <si>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CONTINUACIÓN:24. LEON VARGAS EDISON  C.C. 80.729.485.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</si>
  <si>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CONTINUACIÓN:25. LINARES BASTO JONH MAURICIO  C.C. 79.486.884.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</si>
  <si>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CONTINUACIÓN:27. MAYORGA MORENO GLORIA YAZMIN C.C. 52.065.730.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</si>
  <si>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CONTINUACIÓN:28. MORALES ELTRAN YOLANDA C.C. 39.636.495.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</si>
  <si>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CONTINUACIÓN:29. MORALES GOMEZ JAIME JAIR C.C. 93.203.883.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</si>
  <si>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CONTINUACIÓN:30. MUÑOZ TORRES MARIA DEL PILAR C.C. 51.919.224.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</si>
  <si>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CONTINUACIÓN:31. NIÑO GONZALEZ  MARIA ELIZABETH C.C. 20.369.789.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</si>
  <si>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CONTINUACIÓN:32. ORTIZ CALDERON MARTHA LUCIA C.C. 52.088.712.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</si>
  <si>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CONTINUACIÓN:33. PERDOMO ORTEGA PAOLA ROCIO C.C. 52.547.293.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</si>
  <si>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CONTINUACIÓN:34. PINTO SIERRA MARIA AURORA C.C. 51.741.160.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</si>
  <si>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CONTINUACIÓN:35. PRETELT ECHEVERRIA BERTHA ELISA C.C. 22.438.896.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</si>
  <si>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CONTINUACIÓN:37. RINCON GOMEZ JENNY ALEXANDRA C.C. 63.488.149.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</si>
  <si>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CONTINUACIÓN:38. RIVEROS HERNANDEZ BETSABETH C.C. 51.970.094.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</si>
  <si>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CONTINUACIÓN:39. RODRIGUEZ ARTEAGA IVAN ALONSO C.C. 79.651.752.</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</si>
  <si>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CONTINUACIÓN:40. RODRIGUEZ SAAVEDRA CLARA SONIA C.C. 51.674.639.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</si>
  <si>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CONTINUACIÓN:41. RODRIGUEZ SIERRA GLORIA ISABEL C.C. 51.655.101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</si>
  <si>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CONTINUACIÓN:42. ROJAS ARGELIA C.C. 51.595.740.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</si>
  <si>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CONTINUACIÓN:43. ROMERO PINEDA MARITZA C.C. 39.654.965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</si>
  <si>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CONTINUACIÓN:44. SALCEDO NATALIA MARCELA C.C. 53.096.934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</si>
  <si>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CONTINUACIÓN:46. SANCHEZ HERNANDEZ LEONEL</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</si>
  <si>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CONTINUACIÓN:47. SANTOS VELOZA LUZ MARLEN C.C. 51.998.215.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</si>
  <si>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CONTINUACIÓN:49. TORRES CAMACHO JIM JOIVER C.C. 79.975.590.</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</si>
  <si>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CONTINUACIÓN:51. VALLEJO MOLINA MARIA EUGENIA C.C. 51.633.133.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</si>
  <si>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CONTINUACIÓN:52. VASQUEZ GALLEGO SANDRA YANETH C.C. 52.061.681.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</si>
  <si>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CONTINUACIÓN:53. VASQUEZ PEDRAZA FABIOLA C.C. 39.663.349.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</si>
  <si>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CONTINUACIÓN:54. VELOZA JIMENEZ LUA ALEXANDRA C.C. 52.379.366.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</si>
  <si>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CONTINUACIÓN:55. VILLAMIL RODRIGUEZ WILLIAM RAMON C.C. 19.346.733.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</si>
  <si>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CONTINUACIÓN:56. WILCHES BENITEZ CARLOS CESAR C.C. 79.472.604.</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</si>
  <si>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CONTINUACIÓN:57. ZAMBRANO GOMEZ LAURA CRISTINA C.C. 53.052.116.</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</si>
  <si>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CONTINUACIÓN:58. ZARATE AVELLANEDA MARTHA RUBY C.C. 51.918.023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</si>
  <si>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CONTINUACIÓN:59. ZARATE JIMENEZ CLAUDIA MARCELA C.C. 52.710.835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</si>
  <si>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CONTINUACIÓN:23. JACINTO TORRES INES C.C. 51.619.231.</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</si>
  <si>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CONTINUACIÓN:26. LLERENA AVENDAÑO YULLIET PATRICIA C.C. 51.830.068.</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</si>
  <si>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CONTINUACIÓN:36. RESTREPO ROJAS VICTOR MANUEL C.C. 79.918.323.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</si>
  <si>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CONTINUACIÓN:45.  SANABRIA DUEÑAS YULI ANDREA C.C. 53.093.019.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</si>
  <si>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CONTINUACIÓN:50. URQUIJO BOADA LUZ ANDREA C.C. 52.821.159.</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</si>
  <si>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CONTINUACIÓN:1 HERNANDEZ SASTOQUE MARIA ANTONIA C.C. 41.651.437.</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</si>
  <si>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CONTINUACIÓN:3. RODRIGUEZ JIMENEZ MARIA MERCEDES C.C. 51.938.703.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</si>
  <si>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CONTINUACIÓN:22. GUTIERREZ TAMAYO RITA ENEIDA C.C. 51.653.695.</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</si>
  <si>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COMO MEJORES SERVIDORES PÚBLICOS DE CARRERA ADMINISTRATIVA, DE ACUERDO CON EL PROGRAMA FLEXIBLE ELEGIDO TAL COMO SE RELACIONA A CONTINUACIÓN:2. PIERNAGORDA BUITRAGO LILIA C.C. 39.645.973.</t>
  </si>
  <si>
    <t>POR LA CUAL SE HACE UN RECONOCIMIENTO Y OTORGA UN INCENTIVO NO PECUNIARIO A LOS MEJORES SERVIDORES DE CARRERA ADMINISTRATIVA QUE SE ENCUENTRA EN NIVEL SOBRESALIENTE PARA LA VIGENCIA 2017. ARTICULO 1: RECONOCER Y OTORGAR UN INCENTIVO NO PECUNIARIO A LOS SIGUIENTES SERVIDORES PÚBLICOS POR ENCONTRARSE EN NIVEL SOBRESALIENTE, DE ACUERDO CON LA OPCIÓN ELEGIDA POR CADA UNO, TAL COMO SE RELACIONA A CONTINUACIÓN:48. SUAREZ CABEZA CAROLINA C.C. 52.536.145.</t>
  </si>
  <si>
    <t>CAJA DE COMPENSACION FAMILIAR - COMPENSAR</t>
  </si>
  <si>
    <t>ELIZABETH  GONZALEZ GONZALEZ</t>
  </si>
  <si>
    <t>PETRA TOURS E U</t>
  </si>
  <si>
    <t>PONTIFICIA UNIVERSIDAD JAVERIANA</t>
  </si>
  <si>
    <t>ALEJANDRIA VIAJES Y TURISMO EU</t>
  </si>
  <si>
    <t>COMPAÑÍA DE JESUS</t>
  </si>
  <si>
    <t>COLEGIO CRISTIANO SEMILLA VIDA</t>
  </si>
  <si>
    <t>ADRIANA  PUENTES SIERRA</t>
  </si>
  <si>
    <t>CAROMENDI SAS</t>
  </si>
  <si>
    <t>PROVINCIA DE NUESTRA SEÑORA DE GRACIA DE COLOMBIA</t>
  </si>
  <si>
    <t>UNIVERSIDAD SANTO TOMAS</t>
  </si>
  <si>
    <t>SOCIEDAD EDUCACIONAL ANDINA S.A.</t>
  </si>
  <si>
    <t>SUMMERHILL SCHOOL E U</t>
  </si>
  <si>
    <t>HERMINDA  BELTRAN DE VACA</t>
  </si>
  <si>
    <t>CORPORACION UNIVERSIDAD PILOTO DE COLOMBIA</t>
  </si>
  <si>
    <t>CORPORACION SAN ISIDRO</t>
  </si>
  <si>
    <t>INVERSIONES POMBO S.A.S</t>
  </si>
  <si>
    <t>COLEGIO SAN CARLOS PP BENE</t>
  </si>
  <si>
    <t>FANNY  JIMENEZ BONILLA</t>
  </si>
  <si>
    <t>CORPORACION UNIVERSITARIA UNITEC</t>
  </si>
  <si>
    <t>FUNDACION UNIVERSIDAD AUTONOMA DE COLOMBIA</t>
  </si>
  <si>
    <t>COLEGIO DEL SANTISIMO SACRAMENTO</t>
  </si>
  <si>
    <t>COLEGIO MAYOR DE NUESTRA SEÑORA DEL ROSARIO UNIV.</t>
  </si>
  <si>
    <t>ARACELY  CORDERO GOMEZ</t>
  </si>
  <si>
    <t>CONGREGACION DE HERMANAS DE LA CARIDAD DE SANTA ANA</t>
  </si>
  <si>
    <t>OMNI TOURS COLOMBIA LTDA</t>
  </si>
  <si>
    <t>VOLARE TRAVELS SAS</t>
  </si>
  <si>
    <t>UNIVERSIDAD DEL VALLE</t>
  </si>
  <si>
    <t>GRUPO EMPRESARIAL TURISTICO GREMTUR S A S</t>
  </si>
  <si>
    <t>HERMANAS FRANCISCANAS MISIONERAS DE MARIA AUXILIADORA</t>
  </si>
  <si>
    <t>ALMAR CAPURGANA S A S</t>
  </si>
  <si>
    <t>EASY PLAY EMPRESA UNIPERSONAL</t>
  </si>
  <si>
    <t>RECONOCER Y OTORGAR UN INCENTIVO NO PECUNIARIO A ACEVEDO DAVILA LUZ STELLA C.C. 35.513.829.</t>
  </si>
  <si>
    <t>RECONOCER Y OTORGAR UN INCENTIVO NO PECUNIARIO A AGUIRRE CARRANZA LIZBETH C.C.52.758.761.</t>
  </si>
  <si>
    <t>RECONOCER Y OTORGAR UN INCENTIVO NO PECUNIARIO ALVARADO SENEJO A. PEDRO C.C. 79.372.580.</t>
  </si>
  <si>
    <t>PAGO DE LA AUTOLIQUIDQACIÓN DE LA NÓMINA GENERAL DE AGOSTO DE 2017.</t>
  </si>
  <si>
    <t>RA 41</t>
  </si>
  <si>
    <t>PAGOS</t>
  </si>
  <si>
    <t>NO HAY PAGOS</t>
  </si>
  <si>
    <t>PRESTAR EL SERVICIO INTEGRAL DE FOTOCOPIADO BLANCO, NEGRO Y SERVICIOS AFINES, A PRECIOS FIJOS UNITARIOS SIN FÓRMULA DE REAJUSTE, PARA LAS DEPENDENCIAS DEL NIVEL CENTRAL DE LA SECRETARÍA DISTRITAL DE GOBIERNO</t>
  </si>
  <si>
    <t>FACTURA 4811765290</t>
  </si>
  <si>
    <t>FACTURA 4804759827</t>
  </si>
  <si>
    <t>COMPROBAN 1618882567</t>
  </si>
  <si>
    <t>INSPECCIÓN DE POLICIA DE CHAPINEROPERIODO FACTURADO DEL 11 DE AGOSTO AL 11 DE SEPTIEMBRE DE 2017TOTAL A PAGAR $593.250</t>
  </si>
  <si>
    <t xml:space="preserve"> INSPECCIÓN DE POLICIA Y ALCALDIA DE FONTIBONPERIODO FACTURADO DEL 04 DE AGOSTO AL 05 DE SEPTIEMBRE DE 2017TOTAL A PAGAR $356.110</t>
  </si>
  <si>
    <t>ALCALDIA MAYOR DE BOGOTA - SECRETARIA DE GOBIERNOPERIODO FACTURADO DEL 09 DE AGOSTO AL 07 DE SEPTIEMBRE DE 2017TOTAL A PAGAR $24.338.015</t>
  </si>
  <si>
    <t>FACTURA 241936655</t>
  </si>
  <si>
    <t>DEPENDENCIAS DEL NIVEL CENTRAL DE LA SDGPERIODO DE CONSUMO AGOSTO 1 AL 31 DE 2017FACTURA NUMERO  00241936655VALOR TOTAL A PAGAR  $ 14.626.250</t>
  </si>
  <si>
    <t>RA 42</t>
  </si>
  <si>
    <t>NOMINA SEPTIEMBRE</t>
  </si>
  <si>
    <t>PAGO DE CESANTÍAS DEFINITIVAS A UNOS FUNCIONARIOS RETIRADOS DE LA ENTIDAD Y A QUIENES SE LES ESTÁ PAGANDO PRESTACIONES EN LA NÓMINA DE SEPTIEMBRE 2017.</t>
  </si>
  <si>
    <t>RA 43</t>
  </si>
  <si>
    <t>FACTURA 406353</t>
  </si>
  <si>
    <t>ADQUISICION DE TELEFONO CELULAR SAMSUNG J5 PARA EL DIRECTOR DE DERECHOS HUMANOS.FACTURA DE VENTA NO. BS 00406353TOTAL A PAGAR  $ 560.345</t>
  </si>
  <si>
    <t>PRESTAR LOS SERVICIOS DE PRODUCCIÓN, INSTALACIÓN, DESINSTALACIÓN, ADEMÁS DEL RESPALDO DE CALIDAD Y MANTENIMIENTO A QUE HAYA LUGAR, DE PIEZAS GRÁFICAS EN GRAN FORMATO Y ELABORACIÓN DE ARTÍCULOS PROMOCIONALES PARA LA DIVULGACIÓN DE LAS CAMPAÑAS INSTITUCIONALES DE LAS DEPENDENCIAS DEL NIVEL CENTRAL QUE PERMITAN EL POSICIONAMIENTO DE LA SECRETARÍA DISTRITAL DE GOBIERNO</t>
  </si>
  <si>
    <t>RESOL 1032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</si>
  <si>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 ABRIL RAMIREZ MANUEL FRANCISCO C.C. 79.387.791.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</si>
  <si>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 ALBA OROZCO NESTOR RAUL C.C. 4.277.326.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</si>
  <si>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 BARRERA ROMERO JULIO CESAR C.C. 79.703.828.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</si>
  <si>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 BELTRAN DIAZ RICARDO ALONSO C.C. 80.750.279.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</si>
  <si>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CONTINUACIÓN:5. BOHORQUEZ LESMES GINNA MARCELA C.C. 52.521.528.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</si>
  <si>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CONTINUACIÓN:6. CANTOR ROJAS CARLOS C.C. 19.259.174.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</si>
  <si>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CONTINUACIÓN:7. CAÑON VEGA GUSTAVO ADOLFO C.C. 19.273.508.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</si>
  <si>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CONTINUACIÓN:8. CELY SIERRA JORGE HUMBERTO C.C. 19.379.009.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</si>
  <si>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CONTINUACIÓN:9. CEPEDA SANCHEZ FERNANDO C.C. 79.460.980.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</si>
  <si>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CONTINUACIÓN:10. CESPEDES PEÑA DIEGO C.C. 79.968.117.</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</si>
  <si>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CONTINUACIÓN:11. CRUZ GIL GLORIA LUZ C.C. 51.911.710.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</si>
  <si>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CONTINUACIÓN:12. CRUZ SANCHEZ MARIA DERLY C.C. 51.637.075.</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</si>
  <si>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CONTINUACIÓN:13. DIAZ MALDONADO PAULA ANDREA C.C. 53.120.914.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</si>
  <si>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CONTINUACIÓN:14. GONZALEZ GUATAQUIRA AMANDA MILENA C.C. 52.760.402.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</si>
  <si>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CONTINUACIÓN:15. GONZALEZ TIBOCHA JULI ALEXANDRA C.C. 52.284.666.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</si>
  <si>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CONTINUACIÓN:16. GONZALEZ VILLAREAL CHISTIAN CAMIL C.C. 80.190.284.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</si>
  <si>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CONTINUACIÓN:17. GUERRA HERNANDEZ DARIO C.C. 3.081.353.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</si>
  <si>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CONTINUACIÓN:18. GUERRERO DAZA EDITH CONSUELO C.C. 51.999.453.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</si>
  <si>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CONTINUACIÓN:19. GUZMAN MARTINEZ FABRICIO JOSE C.C. 79.388.946.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</si>
  <si>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CONTINUACIÓN:20. HERRERA MARTIN DORA ESTHER C.C. 51.685.779.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</si>
  <si>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CONTINUACIÓN:22. MORENO LOPEZ  ORLANO C.C. 79.541.796.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</si>
  <si>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CONTINUACIÓN:23. NISPERUZA FLOREZ CORNELIA MARIA C.C. 34.968.382.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</si>
  <si>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CONTINUACIÓN:24. ÑUSTES VILLAMIL YENNI DAYANA C.C. 52.806.048.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</si>
  <si>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CONTINUACIÓN:25. OVALLE ESCOBAR PATRICIA ESPERANZA C.C. 39.776.273.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</si>
  <si>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CONTINUACIÓN:26. PARRA MARTINEZ YOLANDA AURORA C.C. 51.745.034.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</si>
  <si>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CONTINUACIÓN:27. PENAGOS RICO ANA DELIA C.C. 20.490.450.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</si>
  <si>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CONTINUACIÓN:28. PEREZ RIOS JULIAN DAVID C.C. 80.235.478.</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</si>
  <si>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CONTINUACIÓN:29. QUINTERO MIGUEL ANGEL C.C. 4.922.040.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</si>
  <si>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CONTINUACIÓN:30. QUINTERO CRUZ OLGA C.C. 51.557.740.</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</si>
  <si>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CONTINUACIÓN:31. ROA ROA MARIA C.C. 51.680.506.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</si>
  <si>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CONTINUACIÓN:32. RUEDA MENESES LUIS GERMAN C.C. 396.661.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</si>
  <si>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CONTINUACIÓN:33. SANCHEZ BOJACA FERNANDO C.C. 79.306.311.</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</si>
  <si>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CONTINUACIÓN:34. SANCHEZ GONZALEZ MARTHA ALIX C.C. 39.528.885.</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</si>
  <si>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CONTINUACIÓN:35. SOSA RODRIGUEZ JUAN CARLOS C.C. 79.802.974.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</si>
  <si>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CONTINUACIÓN:36. SUAREZ VEJARANO MARIA DEL SOCORRO C.C. 51.999.703.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</si>
  <si>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CONTINUACIÓN:37. TIBAQUICHA DAZA CONSUELO C.C. 41.763.383.</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</si>
  <si>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CONTINUACIÓN:38. VARGAS BECERRA JOSE GUILLERMO C.C. 3.228.292.</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</si>
  <si>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CONTINUACIÓN:40. VELANDIA ROJAS CLEOTILDE C.C. 23.551.256.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</si>
  <si>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CONTINUACIÓN:41 VILLAMIL RUSSI CLAUDIA PIEDAD C.C. 51.815.056.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</si>
  <si>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CONTINUACIÓN:42. WANDURRAGA GONZALEZ LEESLEY JOHANNA C.C. 39.674.646.</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</si>
  <si>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CONTINUACIÓN:43. ZARATE SUAREZ DIANA ESMERALDA C.C. 52.270.589.</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</si>
  <si>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CONTINUACIÓN:39. VASQUEZ GOMEZ YURI PAOLA C.C. 53.930.334.</t>
  </si>
  <si>
    <t>POR LA CUAL SE HACE UN RECONOCIMIENTO Y OTORGA UN INCENTIVO NO PECUNIARIO A LOS MEJORES SERVIDORES DE CARRERA ADMINISTRATIVA QUE SE ENCUENTRAN EN NIVEL SOBRESALIENTE PARA LA VIGENCIA 2017. ARTICULO 1: RECONOCER Y OTORGAR UN INCENTIVO NO PECUNIARIO A LOS SIGUIENTES SERVIDORES PÚBLICOS POR ENCONTRARSE EN NIVEL SOBRESALIENTE, DE ACUERDO CON LA OPCIÓN ELEGIDA POR CADA UNO, TAL COMO SE RELACIONA A CONTINUACIÓN:21. MORALES BETANCOURT HECTOR ROMAN C.C. 11.409.730.</t>
  </si>
  <si>
    <t>FUNDACION UNIVERSITARIA SANITAS</t>
  </si>
  <si>
    <t>MARITZA  DAZA VELASQUEZ</t>
  </si>
  <si>
    <t>COLEGIO PARROQUIAL SAN CARLOS</t>
  </si>
  <si>
    <t>COLEGIO DEL ROSARIO DE SANTO DOMINGO</t>
  </si>
  <si>
    <t>UNIVERSIDAD DE LA SABANA</t>
  </si>
  <si>
    <t>BESTRAVEL SERVICE LTDA</t>
  </si>
  <si>
    <t>GIMNASIO JOSE JOAQUIN CASAS LEAL MELO &amp; CIA S EN C</t>
  </si>
  <si>
    <t>LICEO INFANTIL GOOFY SAS</t>
  </si>
  <si>
    <t>FUNDACION UNIVERSIDAD DE AMERICA</t>
  </si>
  <si>
    <t>OBRA MISIONERA DE JESUS Y MARIA</t>
  </si>
  <si>
    <t>TOUR VACATION HOTELES AZUL S A S</t>
  </si>
  <si>
    <t>PROVINCIA DE NUESTRA SEÑORA DEL ROSARIO DE LA CONGREGACION DE DOMINICAS DE SANTA CATALINA DE SENA</t>
  </si>
  <si>
    <t>UNIVERSIDAD CENTRAL</t>
  </si>
  <si>
    <t>FUNDACION COLEGIO MAYOR DE SAN BARTOLOME</t>
  </si>
  <si>
    <t>DARNELIS  PERTUZ RAMOS</t>
  </si>
  <si>
    <t>NOHORA GLADYS GARZON COTRINO</t>
  </si>
  <si>
    <t>ISTITUZIONE LEONARDO DA VINCI</t>
  </si>
  <si>
    <t>ADICION NO. 2 CONTRATO  DE PRESTACION DE SERVICIOS DE ALIMENTACION INCLUIDO EL SERVICIO DE CATERING NO. 815 DE 2016</t>
  </si>
  <si>
    <t>ESPACIO NATURAL S A S</t>
  </si>
  <si>
    <t>A. OFER. 599</t>
  </si>
  <si>
    <t>O.C. 600</t>
  </si>
  <si>
    <t>SUMINISTRO DE COMBUSTIBLE PARA EL PARQUE AUTOMOTOR DEL NIVEL CENTRAL DE LA SECRETARÍA DISTRITAL DE GOBIERNO A TRAVÉS DEL ACUERDO MARCO DE PRECIOS  NO. CCE-290-1 AMP-2015</t>
  </si>
  <si>
    <t>ORGANIZACION TERPEL S A</t>
  </si>
  <si>
    <t>C.P.S. 609</t>
  </si>
  <si>
    <t>IG UNIFIED COMMUNICATIONS S.A.S</t>
  </si>
  <si>
    <t>OR. COM 605</t>
  </si>
  <si>
    <t>SUMINISTRO Y DISTRIBUCIÓN DE PRODUCTOS PAPELERÍA Y ÚTILES DE OFICINA PARA LAS DIFERENTES DEPENDENCIAS DE LA SECRETARIA DISTRITAL DE GOBIERNO MEDIANTE EL SISTEMA DE PROVEEDURÍA INTEGRAL (OUTSOURSING)</t>
  </si>
  <si>
    <t>S O S SOLUCIONES DE OFICINA &amp; SUMINISTROS S A S</t>
  </si>
  <si>
    <t>C.ARREN N° 608</t>
  </si>
  <si>
    <t>EL USO Y GOCE DEL INMUEBLE UBICADO Y CON LA NOMENCLATURA EN LA CARRERA 75 NO. 23 F-07 DEL BARRIO MODELIA EN LA LOCALIDAD DE FONTIBÓN ¿ BOGOTÁ D.C. IDENTIFICADO CON EL FOLIO DE MATRÍCULA INMOBILIARIA NO. 50C-266037</t>
  </si>
  <si>
    <t>FACTURAS 4824567197</t>
  </si>
  <si>
    <t>FACTURAS 4828570205</t>
  </si>
  <si>
    <t>PREDIO UBICADO EN LA KR 22 N°. 66 A - 14 ENTREGADO POR EL DADEP A LA SECRETARIA DISTRITAL DE GOBIERNOPERIODO FACTURADO DEL 24 DE AGOSTO AL 21 DE SEPTIEMBRE DE 2017TOTAL A PAGAR $40.680</t>
  </si>
  <si>
    <t>CONSEJO DE JUSTICIA DE TEUSAQUILLOPERIODO FACTURADO DEL 28 DE AGOSTO AL 26 DE SEPTIEMBRE DE 2017TOTAL A PAGAR $69.860</t>
  </si>
  <si>
    <t>FACTURA 8650</t>
  </si>
  <si>
    <t>VEREDA PASQUILLA CENTRO APC  ESP  N°. 8650PREDIO UBICADO EN LA KR 2 CL 4 PASQUILLA CENTRO - INSPECCIÓN DE POLICIA DE LA LOCALIDAD DE CIUDAD BOLIVARPERIODO FACTURADO DEL 01 AL 30 DE SEPTIEMBRE DE 2017TOTAL A PAGAR $20.365</t>
  </si>
  <si>
    <t>RESOL 1079</t>
  </si>
  <si>
    <t>SENTENCIA PROFERIDA EL 18 DE AGOSTO DE 2016 POR EL TRIBUNAL ADMINISTRATIVO DE CUNDINAMARCA, SECCION SEGUNDA, SUBSECCION "A" DENTRO DEL PROCESO CON RADICACION NUMERO 11001-33-35-023-2013-00267-01 DE CESAR ANDRES PARRA DIAZ CONTRA DISTRITO CAPITAL DE BOGOTA - DIRECCION DE CARCEL DISTRITAL DE VARONES Y ANEXO DE MUJERES.</t>
  </si>
  <si>
    <t>CESAR ANDRES PARRA DIAZ</t>
  </si>
  <si>
    <t>RESOL 1139</t>
  </si>
  <si>
    <t>DELEGADOS DE LA SECRETARÍA DISTRITAL DE GOBIERNO DE BOGOTÁ D.C EN LA SUPERVISIÓN DE LOS CONCURSOS Y LOS SORTEOS REALIZADOS POR LAS LOTERÍAS, LOS CONSORCIOS COMERCIALES Y LOS JUEGOS PROMOCIONALES EN EL MES DE JULIO DE 2017 Y DEL TIEMPO EXCEDIDO DURANTE EL SERVICIO</t>
  </si>
  <si>
    <t>RA 44</t>
  </si>
  <si>
    <t>PAGO DE LA AUTOLIQUIDQACIÓN DE LA NÓMINA GENERAL DE SEPTIEMBRE DE 2017.</t>
  </si>
  <si>
    <t>C.P.S. 614</t>
  </si>
  <si>
    <t>MANTENIMIENTO PREVENTIVO Y CORRECTIVO A LOS SISTEMAS ININTERRUMPIDOS DE ENERGÍA ELÉCTRICA (UPS) DE LA SECRETARÍA DISTRITAL DE GOBIERNO</t>
  </si>
  <si>
    <t>POWERSUN S.A.S</t>
  </si>
  <si>
    <t>QUINTO REEMBOLSO CAJA MENOR DIRECCIÓN DMINISTRATIVA PARA LA VIGENCIA 2017</t>
  </si>
  <si>
    <t>A.O. 610</t>
  </si>
  <si>
    <t>FOTOCOPIADO BLANCO, NEGRO Y SERVICIOS AFINES, A PRECIOS FIJOS UNITARIOS SIN FÓRMULA DE REAJUSTE, PARA LAS DEPENDENCIAS DEL NIVEL CENTRAL DE LA SECRETARÍA DISTRITAL DE GOBIERNO</t>
  </si>
  <si>
    <t>SOLUTION COPY LTDA</t>
  </si>
  <si>
    <t>FACTURA 54981013</t>
  </si>
  <si>
    <t>FACTURA 164062555</t>
  </si>
  <si>
    <t>C. INTER . 620</t>
  </si>
  <si>
    <t>SERVICIO DE TELEVISION PLAN BRONCE MAX DEL DESPACHO DE LA SECRETARIA DISTRITAL DE GOBIERNOPERIODO FACTURADO DEL 12 DE OCTUBRE AL 11 DE NOVIEMBRE DE 2017TOTAL A PAGAR $205.200</t>
  </si>
  <si>
    <t>SECRETARIA DISTRITAL DE GOBIERNOPERIODO DE CONSUMO DEL 05 DE SEPTIEMBRE AL 04 DE OCTUBRE DE 2017TOTAL A PAGAR $3.549.289</t>
  </si>
  <si>
    <t>SERVICIO INTEGRAL DE TELECOMUNICACIONES A LA SECRETARIA DISTRITAL DE GOBIERNO</t>
  </si>
  <si>
    <t>C.INTER 613</t>
  </si>
  <si>
    <t>IMPRENTA NACIONAL DE COLOMBIA</t>
  </si>
  <si>
    <t>FACTURA 4783494230</t>
  </si>
  <si>
    <t>FACTURA 4820000280</t>
  </si>
  <si>
    <t>FACTURA 4817120462</t>
  </si>
  <si>
    <t>FACTURA 4849210413</t>
  </si>
  <si>
    <t>FACTURA 4849319847</t>
  </si>
  <si>
    <t>FACTURA 4841191210</t>
  </si>
  <si>
    <t>FACTURA 1620600948</t>
  </si>
  <si>
    <t>PREDIO UBICADO EN LA CL 119 6 56 BARRIO USAQUENPERIODO FACTURADO DEL 17 DE JULIO AL 16 DE AGOSTO DE 2017TOTAL A PAGAR $67.450</t>
  </si>
  <si>
    <t>INSPECCIÓN DE POLICIA DE LA LOCALIDAD DE BARRIOS UNIDOSPERIODO FACTURADO DEL 18 DE AGOSTO AL 18 DE SEPTIEMBRE DE 2017TOTAL A PAGAR $1.337.710</t>
  </si>
  <si>
    <t>PREDIO UBICADO EN LA CL 119 6 56 BARRIO USAQUENPERIODO FACTURADO DEL 16 DE AGOSTO AL 14 DE SEPTIEMBRE DE 2017TOTAL A PAGAR $189.200</t>
  </si>
  <si>
    <t>PREDIO UBICADO EN LA CL 12 C N°. 08 17 - SECRETARIA DISTRITAL DE GOBIERNOPERIODO FACTURADO DEL 07 DE SEPTIEMBRE AL 09 DE OCTUBRE DE 2017TOTAL A PAGAR $2.678.780.</t>
  </si>
  <si>
    <t>NSPECCIÓN DE POLICIA DE CHAPINEROPERIODO FACTURADO DEL 11 DE SEPTIEMBRE AL 11 DE OCTUBRE DE 2017TOTAL A PAGAR $643.850.</t>
  </si>
  <si>
    <t xml:space="preserve"> INSPECCIÓN DE POLICIA Y ALCALDIA DE FONTIBONPERIODO FACTURADO DEL 05 DE SEPTIEMBRE AL 05 DE OCTUBRE DE 2017TOTAL A PAGAR $360.360.</t>
  </si>
  <si>
    <t>EDIFICIO BICENTENARIOPERIODO FACTURADO 7 DE SEPTIEMBRE AL 9 DE OCTUBRE DE 2017NUMERO DE COMPROBANTE  162060094-8TOTAL A PAGAR $  23.070.010</t>
  </si>
  <si>
    <t>FACTURA 2730761661</t>
  </si>
  <si>
    <t>FACTURA 3206563561</t>
  </si>
  <si>
    <t>FACTURA 8568128212</t>
  </si>
  <si>
    <t>FACTURA 2730761641</t>
  </si>
  <si>
    <t>FACTURA 3206563551</t>
  </si>
  <si>
    <t>FACTURA 2730761701</t>
  </si>
  <si>
    <t>EDIFICIO FURATENA - SECRETARIA DE GOBIERNOCL 12C 8 53PERIODO FACTURADO DEL 18 DE JULIO  AL 15 DE SEPTIEMBRE DE 2017TOTAL A PAGAR $120.080.</t>
  </si>
  <si>
    <t>INSPECCIÓN DE POLICIA Y ALCALDIA DE BARRIOS UNIDOSKR 55 79B 48PERIODO FACTURADO DEL 18 DE JULIO  AL 15 DE SEPTIEMBRE DE 2017TOTAL A PAGAR $211.930.</t>
  </si>
  <si>
    <t>INSPECCIÓN DE POLICIA DE USAQUENCL 122 7A 61PERIODO FACTURADO DEL 18 DE JULIO  AL 15 DE SEPTIEMBRE DE 2017TOTAL A PAGAR $203.140.</t>
  </si>
  <si>
    <t>INSPECCIÓN DE POLICIA DE ANTONIO NARIÑOTV 21A 19 SUR 54 PI 1PERIODO FACTURADO DEL 18 DE JULIO  AL 15 DE SEPTIEMBRE DE 2017TOTAL A PAGAR $240.930.</t>
  </si>
  <si>
    <t>INSPECCIÓN DE POLICIA DE CHAPINEROCL 61 7 51PERIODO FACTURADO DEL 18 DE JULIO  AL 15 DE SEPTIEMBRE DE 2017TOTAL A PAGAR $3.412.210.</t>
  </si>
  <si>
    <t>INSPECCIÓN DE POLICIA Y ALCALSIA DE FONTIBONKR 75 23F 07 PI 2PERIODO FACTURADO DEL 18 DE JULIO  AL 15 DE SEPTIEMBRE DE 2017TOTAL A PAGAR $110.410</t>
  </si>
  <si>
    <t>FACTURA 7890030914</t>
  </si>
  <si>
    <t>FACTURA 8567346518</t>
  </si>
  <si>
    <t>FACTURA 7890019412</t>
  </si>
  <si>
    <t>FACTURA 2460010021</t>
  </si>
  <si>
    <t>FACTURA 7890029718</t>
  </si>
  <si>
    <t>EDIFICIO FURATENA - SECRETARIA DE GOBIERNOPERIODO FACTURADO DEL 18 DE JUNIO AL 18 DE AGOSTO DE 2017TOTAL A PAGAR $132.790</t>
  </si>
  <si>
    <t>INSPECCIÓN DE POLICIA DE BARRIOS UNIDOS - KR 55 79B 48PERIODO FACTURADO DEL 18 DE JUNIO AL 18 DE AGOSTO DE 2017TOTAL A PAGAR $195.610</t>
  </si>
  <si>
    <t>INSPECCIÓN DE POLICIA Y ALCALDIA DE FONTIBON - KR 75 23F 07 PI 2PERIODO FACTURADO DEL 18 DE JUNIO AL 18 DE AGOSTO DE 2017TOTAL A PAGAR $76.090</t>
  </si>
  <si>
    <t>INSPECCIÓN DE POLICIA DE ANTONIO NARIÑO - TV 21 A 19 SUR 54 PI 1PERIODO FACTURADO DEL 18 DE JUNIO AL 18 DE AGOSTO DE 2017TOTAL A PAGAR $1.038.260</t>
  </si>
  <si>
    <t>INSPECCIÓN DE POLICIA DE CHAPINERO - 61 7 51 PERIODO FACTURADO DEL 18 DE JUNIO AL 18 DE AGOSTO DE 2017TOTAL A PAGAR $76.090</t>
  </si>
  <si>
    <t>FACTURA 243023167</t>
  </si>
  <si>
    <t>TELEFONIA LOCAL, LARGA DISTANCIA, INTERNET Y DATOS, ALIANZAS ETB Y OTROS OPERADORES DE LAS DEPENDENCIAS DE LA SECRETARIA DISTRITAL DE GOBIERNOPERIODO DE CONSUMO SEPTIEMBRE 01 AL 30 DE 2017TOTAL A PAGAR $13.253.500.</t>
  </si>
  <si>
    <t>RESOL 1212</t>
  </si>
  <si>
    <t>UTILIZACIÓN PARA PROCESOS DE CAPACITACIÓN DEL PROYECTO PAE PARA FORMACIÓN EN TEMAS PROPIOS DE LA MISIONALIDAD DE LA DEPENDENCIA COMO LO ES EL CONGRESO DE CONTRATACIÓN ESTATAL.</t>
  </si>
  <si>
    <t>UNIVERSIDAD DE LOS ANDES</t>
  </si>
  <si>
    <t>C.INTER  613</t>
  </si>
  <si>
    <t>PRODUCCIÓN, INSTALACIÓN, DESINSTALACIÓN, ADEMÁS DEL RESPALDO DE CALIDAD Y MANTENIMIENTO A QUE HAYA LUGAR, DE PIEZAS GRÁFICAS EN GRAN FORMATO Y ELABORACIÓN DE ARTÍCULOS PROMOCIONALES PARA LA DIVULGACIÓN DE LAS CAMPAÑAS INSTITUCIONALES DE LAS DEPENDENCIAS DEL NIVEL CENTRAL QUE PERMITAN EL POSICIONAMIENTO DE LA SECRETARÍA DISTRITAL DE GOBIERNO</t>
  </si>
  <si>
    <t>PRESTAR SERVICIOS DE ORGANIZACIÓN LOGÍSTICA DE EVENTOS INSTITUCIONALES DE LA SECRETARÍA DISTRITAL DE GOBIERNO</t>
  </si>
  <si>
    <t>JEFE OFICINA ASEORA COMUNICACIONES</t>
  </si>
  <si>
    <t>NOMINA OCTUBRE</t>
  </si>
  <si>
    <t>RA 46</t>
  </si>
  <si>
    <t>C.INTER 1558</t>
  </si>
  <si>
    <t>PAGO DEL PASIVO EXIGIBLE DEL CONTRATO DE INTERVENTORIA No. 1558 DE 2015.</t>
  </si>
  <si>
    <t>JORGE HERNAN SANCHEZ PINEDA</t>
  </si>
  <si>
    <t>BONOS NAVIDEÑOS</t>
  </si>
  <si>
    <t>SEXTO REEMBOLSO CAJA MENOR DIRECCIÓN ADMINISTRATIVA</t>
  </si>
  <si>
    <t>RESOL 1230</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</si>
  <si>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A LAS FUNCIONARIAS ADRIANA LUCIA JIMENES RODRIGUEZ Y CARMEN YOLANDA VILLABONA, TIQUETES AEREOS EN LAS RUTAS BOGOTA-CARTAGENA Y CARTAGENA- BOGOTA,  ASI COMO VIATICOS A RAZON DEL CIENTO POR CIENTO (100%) LOS DIAS 235, 26 Y 27 DE OCTUBRE DE 2017 Y  DEL CINCUENTA POR CIENTO  (50%) EL DIA 28 DE OCTUBRE DE 2017..  "</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</si>
  <si>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A LAS FUNCIONARIAS ADRIANA LUCIA JIMENEZ RODRIGUEZ Y CARMEN YOLANDA VILLABONA,  TIQUETES AEREOS EN AS RUTAS BOGOTA- CARTAGENA Y CARTAGENA- BOGOTA, ASI COMO VIATICOS A RAZON  DEL CIEN POR CIENTO (100%) LOS DIAS 25, 26, 27 DE OCTUBRE 2017 Y DEL CINCUENTA POR CIENTO  (50%) EL DIA 28 DE OCTUBRE DE 2017,..."</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</si>
  <si>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TIQUETES AEREOS EN LAS RUTAS BOGOTA-  CARTAGENA  Y CARTAGENA-  BOGOTA</t>
  </si>
  <si>
    <t>PARTICIPACIÓN DE LAS DIRECTORAS JURÍDICA Y DE CONTRATACIÓN DE ÉSTA SECRETARÍA EN EL IV CONGRESO DE COMPRA PÚBLICA-XV JORNADAS DE CONTRATACIÓN ESTATAL - UNIVERSIDAD DE LOS ANDES FACULTAD DE DERECHO, EN LA CIUDAD DE CARTAGENA, DEL EL 25 AL 28 DE OCTUBREDE 2017, PARA CONTAR CON MAYORES HERRAMIENTAS JURÍDICAS QUE SUSTENTEN LAS DECISIONES A ABORDAR EN CADA UNO DE LOS PROCESOS DE CONTRATACIÓN PÚBLICA QUE LLEVE A CABO LA SECRETARÍA DISTRITAL DE GOBIERNO.ARTICULO 4°.  RECONOCER TIQUETES AEREOS EN LAS RUTAS BOGOTA- CARTAGENA Y CARTAGENA-  BOGOTA</t>
  </si>
  <si>
    <t>CARMEN YOLANDA VILLABONA</t>
  </si>
  <si>
    <t>FACTURA 4855590098</t>
  </si>
  <si>
    <t>FACTURA DE SERVICIOS PUBLICOS DE CODENSA S.A. ESP N°. 485559009-8PREDIO UBICADO EN LA CL 119 6 56 - USAQUENPERIODO FACTURADO DEL 14 DE SEPTIEMBRE AL 17 DE OCTUBRE DE 2017TOTAL A PAGAR $227.030</t>
  </si>
  <si>
    <t>FACTURA 5959770915</t>
  </si>
  <si>
    <t>FACTURA 2460077311</t>
  </si>
  <si>
    <t>FACTURA 2595976701</t>
  </si>
  <si>
    <t>SERVICIO PUBLICO DE ACUEDUCTO Y ALCANTARILLADO PARA EL PREDIO CNSEJO DE JUSTICIA DE LOCALIDAD CHAPINERO KR 14  53-60.PERIODO FACTURADO JULIO 18 A SEPTIEMBRE 15 DE 2017FACTURAS DE SERVICIOS PUBLICOS NOS.  25959770915,  25959771012,  259597711,  25959771210,  25959771319,  25959771418,  25959771517,  25959771616,  25959771715, 25959771814  Y 25959771913.TOTAL A PAGAR  $ 5.879.530</t>
  </si>
  <si>
    <t>FACTURA DE LA EMPRESA DE ACUEDUCTO, ALCANTARILLADO Y ASEO DE BOGOTA E.S.P. N°. 24600773113SERVICIO DE ACUEDUCTO Y ALCANTARILLADO DE DE LA SECRETARIA DISTRITAL DE GOBIERNOEDIFICIO LIEVANO - BICENTENARIOPERIODO FACTURADO DEL 18 DE JULIO AL 15 DE SEPTIEMBRE DE 2017TOTAL A PAGAR $35.690.600</t>
  </si>
  <si>
    <t>FACTURA DE LA EMPRESA DE ACUEDUCTO, ALCANTARILLADO Y ASEO DE BOGOTA E.S.P. N°. 25959767010SERVICIO DE ACUEDUCTO Y ALCANTARILLADO DEL CONSEJO DE JUSTICIA DE TEUSAQUILLO - CL 46 14 28PERIODO FACTURADO DEL 18 DE JULIO   AL 15 DE SEPTIEMBRE DE 2017TOTAL A PAGAR $511.650.</t>
  </si>
  <si>
    <t>FACTURA 2798711981</t>
  </si>
  <si>
    <t>CONSEJO DE JUSTICIA DE TEUSAQUILLOPERIODO FACTURADO DEL 18 DE JUNIO AL 18 DE AGOSTO DE 2017TOTAL A PAGAR $76.090</t>
  </si>
  <si>
    <t>A.O 622</t>
  </si>
  <si>
    <t>CONTRATAR LA PRESTACIÓN DE SERVICIOS DE SALUD PARA REALIZAR EXAMENES MÉDICOS OCUPACIONALES DE INGRESO, POST INCAPACIDAD, POR CAMBIO DE OCUPACION Y DE EGRESO A LOS SERVIDORES ADSCRITOS A LA PLANTA DE PERSONAL.</t>
  </si>
  <si>
    <t>IMPORTADORA COLOMBIANA DE ARTICULOS ESPECIALES LTDA IMCARE LTDA</t>
  </si>
  <si>
    <t>GRUPO LABORAL OCUPACIONAL SAS</t>
  </si>
  <si>
    <t>ADQUISICION DE CONTENEDORES Y PUNTOS ECOLÓGICOS PARA EL ALMACENAMIENTO Y PESAJE DE RESIDUOS SÓLIDOS EN LASSEDES DEL NIVEL CENTRAL DE LA SECRETARÍA DISTRITAL DE GOBIERNO</t>
  </si>
  <si>
    <t>FACTURA 25264</t>
  </si>
  <si>
    <t>SECRETARIA DISTRITAL DE GOBIERNOPERIODO DE CONSUMO DEL  MES DE MARZO  AL MES DE SEPTIEMBRE DE 2017TOTAL A PAGAR $24.845.023.</t>
  </si>
  <si>
    <t>NOVIEMBRE</t>
  </si>
  <si>
    <t>ADQUISICION E INSTALACION DE PORTABICICLETAS PARA VEHÍCULOS DE LA SECRETARÍA DISTRITAL DE GOBIERNO</t>
  </si>
  <si>
    <t>FACTURA 4864510398</t>
  </si>
  <si>
    <t>DADEP A LA SECRETARIA DISTRITAL DE GOBIERNOPERIODO FACTURADO DEL 21 DE SEPTIEMBRE AL 24 DE OCTUBRE DE 2017TOTAL A PAGAR $67.210</t>
  </si>
  <si>
    <t>C.P.S. 815-16</t>
  </si>
  <si>
    <t>ADICION NO. 3 AL CONTRATO  DE PRESTACION DE SERVICOS DE ALIMENTACION NO. 815 DE 2016 SUSCRITO CON ESPACIO NATURAL LTDA</t>
  </si>
  <si>
    <t>RA 47</t>
  </si>
  <si>
    <t>PAGO DE LA AUTOLIQUIDQACIÓN DE LA NÓMINA GENERAL DE OCTUBRE DE 2017.</t>
  </si>
  <si>
    <t>FACTURA 4868034176</t>
  </si>
  <si>
    <t>PREDIO UBICADO EN LA CL 46 14  22 - CONSEJO DE JUSTICIA DE TEUSAQUILLOPERIODO FACTURADO DEL 26 DE SEPTIEMBRE AL 26 DE OCTUBRE DE 2017TOTAL A PAGAR $69.630</t>
  </si>
  <si>
    <t>FACTURA 8859</t>
  </si>
  <si>
    <t>INSPECCIÓN DE POLICIA DE LA LOCALIDAD DE CIUDAD BOLIVARPERIODO FACTURADO DEL 01 DE OCTUBRE AL 30 DE OCTUBRE DE 2017TOTAL A PAGAR $19.128</t>
  </si>
  <si>
    <t>MEDIANTE AUTO DE FECHA 28 DE AGOSTO DE 2017, EL JUZGADO 36 ADMINISTRATIVO DEL CIRCUITO JUDICIAL DE BOGOTÁ APROBÓ LA CONCILIACIÓN CELEBRADA DENTRO DEL PROCESO CONTRACTUAL NO. 2013-00411, MEDIANTE LA CUAL SE ACORDÓ QUE LA SECRETARÍA DISTRITAL DE GOBIERNO PAGARÍA A LA PARTE DEMANDANTE, ASESORÍA INMOBILIARIA CAPITAL LTDA., LA SUMA DE TRESCIENTOS CINCUENTA Y SIETE MILLONES OCHENTA MIL PESOS ($357.080.000), TENIENDO EN CUENTA LA SENTENCIA DE PRIMERA INSTANCIA PROFERIDA EL DÍA 25 DE ABRIL DE 2017.</t>
  </si>
  <si>
    <t>RESOL 1362</t>
  </si>
  <si>
    <t>DELEGADOS DE LA SECRETARÍA DISTRITAL DE GOBIERNO DE BOGOTÁ D.C EN LA SUPERVISIÓN DE LOS CONCURSOS Y LOS SORTEOS REALIZADOS POR LAS LOTERÍAS, LOS CONSORCIOS COMERCIALES Y LOS JUEGOS PROMOCIONALES EN EL MES DE AGOSTO DE 2017 Y DEL TIEMPO EXCEDIDO DURANTE EL SERVICIO</t>
  </si>
  <si>
    <t>RA 48</t>
  </si>
  <si>
    <t>PAGO DE LA AUTOLIQUIDACIÓN ADICIONAL DEL MES DE OCTUBRE DE 2017 POR INGRESO DE NUEVOS SERVIDORES PÚBLICOS.</t>
  </si>
  <si>
    <t>RESOL 639</t>
  </si>
  <si>
    <t>POR MEDIO DE LA CUAL SE CONCEDE UNA COMISIÓN DE SERVICIOS AL INTERIOR DEL PAÍS AL SECRETARIO DISTRITAL DE GOBIERNO Y SE HACE UN ENCARGOARTICULO 1º. CONCEDER COMISIÓN DE SERVICIOS AL INTERIOR DEL PAÍS, AL DOCTOR AL DOCTOR MIGUEL URIBA TURBAY, IDENTIFICADO CON CÉDULA DE CIUDADANÍA NO. 81.717.607, SECRETARIO DE DESPACHO CÓDIGO 020 GRADO 09 DE LA SECRETARÍA DISTRITAL DE GOBIERNO, PARA ASISTIR AL XIV CONGRESO NACIONAL DE LA INFRAESTRUCTURA, A PARTIR DE LAS 08:00 P.M. DEL DÍA 21 Y HASTA EL 22 DE NOVIEMBRE DE 2017, EN CARTAGENA BOLÍVAR.</t>
  </si>
  <si>
    <t>MIGUEL  URIBE TURBAY</t>
  </si>
  <si>
    <t>FACTURA 9103</t>
  </si>
  <si>
    <t>FACTURA DE VENTA DE LA EMPRESA AVANTEL S.A.S N°. 9103PREDIO UBICADO EN LA CL 11 N° 8 17 - SECRETARIA DISTRITAL DE GOBIERNOPERIODO COMPRENDIDO DE AGOSTO A OCTUBRE DE 2017TOTAL A PAGAR $2.296.717</t>
  </si>
  <si>
    <t>C.O.554</t>
  </si>
  <si>
    <t>ADICION NO. 01 AL CONTRATO DE OBRA  NO. 554 DE 2017 SUSCRITO CON GUSTAVO AFOLFO TORRES</t>
  </si>
  <si>
    <t>FACTURA 4878518508</t>
  </si>
  <si>
    <t>FACTURA 4885213110</t>
  </si>
  <si>
    <t>FACTURA 1622199282</t>
  </si>
  <si>
    <t>PREDIO UBICADO EN LA KR 75 23F 07 - INSPECCIÓN DE POLICIA Y ALCALDIA DE FONTIBONPERIODO FACTURADO DEL 05 DE OCTUBRE AL 03 DE NOVIEMBRE DE 2017TOTAL A PAGAR $363.630</t>
  </si>
  <si>
    <t>PREDIO UBICADO EN LA CL 61 7 51 PI 2 Y 1 - INSPECCIÓN DE POLICIA DE CHAPINEROPERIODO FACTURADO DEL 11 DE OCTUBRE AL 10 DE NOVIEMBRE DE 2017TOTAL A PAGAR $604.510</t>
  </si>
  <si>
    <t>PREDIO UBICADO EN LA KR 8 N° 10 65PERIODO FACTURADO DEL 09 DE OCTUBRE AL 08 DE NOVIEMBRE DE 2017TOTAL A PAGAR $26.823.879</t>
  </si>
  <si>
    <t>FACTURA 245154453</t>
  </si>
  <si>
    <t>FACTURA 244698067</t>
  </si>
  <si>
    <t>FACTURA DE SERVICIOS PUBLICOS DE LA E.T.B. S.A. ESP, N°. 000245154453SERVICIO DE TELEFONIA LOCAL, LARGA DISTANCIA, INTERNET Y DATOS, ALIANZAS ETB Y OTROS OPERADORES DE LAS DEPENDENCIAS DE LA SECRETARIA DISTRITAL DE GOBIERNOPERIODO DE CONSUMO OCTUBRE 01 AL 31 DE 2017TOTAL A PAGAR $13.418.220</t>
  </si>
  <si>
    <t>SERVICIO PUBLICO DE TELEFONO PARA LAS DEPENDENCIAS DEL NIVEL CENTRAL DE LA SDG.FACTURA NUMERO  000244698067CONSUMO DEL MES DE OCTUBRE 1 AL 31 DE 2017TOTAL A PAGAR  $ 17.885.790</t>
  </si>
  <si>
    <t>RA 50</t>
  </si>
  <si>
    <t>RA 51</t>
  </si>
  <si>
    <t>NOMINA NOVIEMBRE</t>
  </si>
  <si>
    <t>PAGO DE MULTA POR VENCIMIENTO DE LOS PERMISOS PARA PORTE DE LAS ARMAS DE FUEGO DE LA CARCEL DISTRITAL DE VARONES Y ANEXO DE MUJERES</t>
  </si>
  <si>
    <t>ADICIÓN Y PRORROGA CT C.V. 539-2017</t>
  </si>
  <si>
    <t>RESOL 1422</t>
  </si>
  <si>
    <t>ASESORIA INMOBILIARIA CAPITAL LIMITADA</t>
  </si>
  <si>
    <t>ADICIÓN NO. 1 A LA COMUNICACION DE ACEPTACION DE OFERTA CONTRATO DE COMPRAVENTA  NO. 582 DE 2017 SUSRITO CON SUPPLER S.A.S</t>
  </si>
  <si>
    <t>DIRECCIÓN JURIDICA</t>
  </si>
  <si>
    <t>MEDIANTE SENTENCIA DEL 10 DE MARZO DE 2016, PROFERIDA DENTRO DEL PROCESO NO. 2014-00018, EL TRIBUNAL ADMINISTRATIVO DE CUNDINAMARCA PROCEDIÓ A MODIFICAR FALLO DE PRIMERA INSTANCIA EMITIDO POR EL JUZGADO PRIMERO ADMINISTRATIVO DE ORALIDAD DEL CIRCUITO JUDICIAL DE BOGOTÁ CONDENANDO ADICIONALMENTE A COSTAS A LA ENTIDAD POR UN VALOR DE UN MILLÓN TRESCIENTOS CINCUENTA Y CUATRO MIL NOVECIENTOS PESOS ($1.354.900)</t>
  </si>
  <si>
    <t>PAGO DE MULTA PROCESO COACTIVO DE LA SECRETARIA DISTRITAL DE SALUD</t>
  </si>
  <si>
    <t>DIRECCIÓN DE GSTIÓN DEL TALENTO HUMANO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</si>
</sst>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_-* #,##0.00\ _P_t_s_-;\-* #,##0.00\ _P_t_s_-;_-* &quot;-&quot;??\ _P_t_s_-;_-@_-"/>
    <numFmt numFmtId="179" formatCode="_-* #,##0\ _P_t_s_-;\-* #,##0\ _P_t_s_-;_-* &quot;-&quot;??\ _P_t_s_-;_-@_-"/>
    <numFmt numFmtId="180" formatCode="#.##0.00"/>
    <numFmt numFmtId="181" formatCode="#,##0.0"/>
  </numFmts>
  <fonts count="35" x14ac:knownFonts="1">
    <font>
      <sz val="10"/>
      <name val="Arial"/>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8"/>
      <name val="Garamond"/>
      <family val="1"/>
    </font>
    <font>
      <sz val="10"/>
      <color indexed="8"/>
      <name val="Garamond"/>
      <family val="1"/>
    </font>
    <font>
      <b/>
      <sz val="10"/>
      <color indexed="8"/>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theme="1"/>
      <name val="Garamond"/>
      <family val="1"/>
    </font>
    <font>
      <sz val="11"/>
      <color rgb="FF000000"/>
      <name val="Garamond"/>
      <family val="1"/>
    </font>
    <font>
      <sz val="10"/>
      <color theme="1"/>
      <name val="Garamond"/>
      <family val="1"/>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85">
    <xf numFmtId="0" fontId="0" fillId="0" borderId="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9" fillId="22" borderId="19" applyNumberFormat="0" applyAlignment="0" applyProtection="0"/>
    <xf numFmtId="0" fontId="20" fillId="23" borderId="20" applyNumberFormat="0" applyAlignment="0" applyProtection="0"/>
    <xf numFmtId="0" fontId="21" fillId="0" borderId="21" applyNumberFormat="0" applyFill="0" applyAlignment="0" applyProtection="0"/>
    <xf numFmtId="0" fontId="22" fillId="0" borderId="0" applyNumberFormat="0" applyFill="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3" fillId="30" borderId="19" applyNumberFormat="0" applyAlignment="0" applyProtection="0"/>
    <xf numFmtId="0" fontId="24" fillId="31" borderId="0" applyNumberFormat="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25" fillId="32" borderId="0" applyNumberFormat="0" applyBorder="0" applyAlignment="0" applyProtection="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33" borderId="22" applyNumberFormat="0" applyFont="0" applyAlignment="0" applyProtection="0"/>
    <xf numFmtId="0" fontId="17" fillId="33" borderId="22" applyNumberFormat="0" applyFont="0" applyAlignment="0" applyProtection="0"/>
    <xf numFmtId="0" fontId="17" fillId="33" borderId="22" applyNumberFormat="0" applyFont="0" applyAlignment="0" applyProtection="0"/>
    <xf numFmtId="0" fontId="17" fillId="33" borderId="22"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0" fontId="26" fillId="22" borderId="2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4" applyNumberFormat="0" applyFill="0" applyAlignment="0" applyProtection="0"/>
    <xf numFmtId="0" fontId="22" fillId="0" borderId="25" applyNumberFormat="0" applyFill="0" applyAlignment="0" applyProtection="0"/>
    <xf numFmtId="0" fontId="31" fillId="0" borderId="26" applyNumberFormat="0" applyFill="0" applyAlignment="0" applyProtection="0"/>
  </cellStyleXfs>
  <cellXfs count="542">
    <xf numFmtId="0" fontId="0" fillId="0" borderId="0" xfId="0"/>
    <xf numFmtId="0" fontId="5" fillId="2" borderId="0" xfId="0" applyFont="1" applyFill="1" applyAlignment="1">
      <alignment vertical="center"/>
    </xf>
    <xf numFmtId="0" fontId="5" fillId="2" borderId="0" xfId="0" applyFont="1" applyFill="1"/>
    <xf numFmtId="0" fontId="6" fillId="2" borderId="0" xfId="0" applyFont="1" applyFill="1"/>
    <xf numFmtId="17" fontId="5" fillId="2" borderId="0" xfId="0" quotePrefix="1" applyNumberFormat="1" applyFont="1" applyFill="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4" borderId="2" xfId="0" applyNumberFormat="1" applyFont="1" applyFill="1" applyBorder="1" applyAlignment="1" applyProtection="1">
      <alignment horizontal="left" vertical="center"/>
      <protection locked="0"/>
    </xf>
    <xf numFmtId="0" fontId="6" fillId="34" borderId="2" xfId="0" applyNumberFormat="1" applyFont="1" applyFill="1" applyBorder="1" applyAlignment="1">
      <alignment horizontal="left" vertical="center"/>
    </xf>
    <xf numFmtId="0"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4" fontId="6" fillId="2" borderId="3" xfId="0" applyNumberFormat="1" applyFont="1" applyFill="1" applyBorder="1" applyAlignment="1" applyProtection="1">
      <alignment vertical="center"/>
      <protection locked="0"/>
    </xf>
    <xf numFmtId="0" fontId="6" fillId="34" borderId="3" xfId="0" applyNumberFormat="1" applyFont="1" applyFill="1" applyBorder="1" applyAlignment="1" applyProtection="1">
      <alignment horizontal="left" vertical="center"/>
      <protection locked="0"/>
    </xf>
    <xf numFmtId="0" fontId="6" fillId="34" borderId="3" xfId="0" applyNumberFormat="1" applyFont="1" applyFill="1" applyBorder="1" applyAlignment="1">
      <alignment horizontal="left" vertical="center"/>
    </xf>
    <xf numFmtId="4" fontId="6" fillId="34" borderId="3" xfId="0" applyNumberFormat="1" applyFont="1" applyFill="1" applyBorder="1" applyAlignment="1" applyProtection="1">
      <alignment vertical="center"/>
      <protection locked="0"/>
    </xf>
    <xf numFmtId="0" fontId="6" fillId="2" borderId="3" xfId="0" applyNumberFormat="1" applyFont="1" applyFill="1" applyBorder="1" applyAlignment="1">
      <alignment horizontal="left" vertical="center"/>
    </xf>
    <xf numFmtId="4" fontId="5" fillId="2" borderId="2" xfId="0" applyNumberFormat="1" applyFont="1" applyFill="1" applyBorder="1" applyAlignment="1" applyProtection="1">
      <alignment horizontal="left" vertical="center"/>
      <protection locked="0"/>
    </xf>
    <xf numFmtId="0" fontId="5" fillId="2" borderId="2" xfId="0" applyFont="1" applyFill="1" applyBorder="1" applyAlignment="1">
      <alignment vertical="center"/>
    </xf>
    <xf numFmtId="4" fontId="5" fillId="2" borderId="3" xfId="0" applyNumberFormat="1" applyFont="1" applyFill="1" applyBorder="1" applyAlignment="1" applyProtection="1">
      <alignment horizontal="left" vertical="center"/>
      <protection locked="0"/>
    </xf>
    <xf numFmtId="0" fontId="5" fillId="2" borderId="3" xfId="0" applyFont="1" applyFill="1" applyBorder="1" applyAlignment="1">
      <alignment vertical="center"/>
    </xf>
    <xf numFmtId="4"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vertical="center"/>
    </xf>
    <xf numFmtId="4" fontId="6" fillId="2" borderId="0" xfId="0" applyNumberFormat="1" applyFont="1" applyFill="1"/>
    <xf numFmtId="3" fontId="6" fillId="34" borderId="2" xfId="0" applyNumberFormat="1" applyFont="1" applyFill="1" applyBorder="1" applyAlignment="1" applyProtection="1">
      <alignment vertical="center"/>
      <protection locked="0"/>
    </xf>
    <xf numFmtId="3" fontId="6" fillId="2" borderId="3" xfId="0" applyNumberFormat="1" applyFont="1" applyFill="1" applyBorder="1" applyAlignment="1" applyProtection="1">
      <alignment vertical="center"/>
      <protection locked="0"/>
    </xf>
    <xf numFmtId="3" fontId="6" fillId="34" borderId="3"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6" fillId="2" borderId="3"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justify"/>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0" borderId="0" xfId="0" applyFont="1"/>
    <xf numFmtId="0" fontId="5" fillId="3" borderId="0" xfId="0" applyFont="1" applyFill="1" applyBorder="1" applyAlignment="1">
      <alignment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justify"/>
    </xf>
    <xf numFmtId="0" fontId="6" fillId="2" borderId="0" xfId="0" applyFont="1" applyFill="1" applyBorder="1"/>
    <xf numFmtId="0" fontId="6" fillId="2"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3" xfId="0" applyFont="1" applyFill="1" applyBorder="1"/>
    <xf numFmtId="0" fontId="6" fillId="2" borderId="7" xfId="0" applyFont="1" applyFill="1" applyBorder="1"/>
    <xf numFmtId="0" fontId="6" fillId="2" borderId="5" xfId="0" applyFont="1" applyFill="1" applyBorder="1"/>
    <xf numFmtId="0" fontId="6" fillId="2" borderId="8" xfId="0" applyFont="1" applyFill="1" applyBorder="1"/>
    <xf numFmtId="0" fontId="6" fillId="2" borderId="9" xfId="0" applyFont="1" applyFill="1" applyBorder="1"/>
    <xf numFmtId="4" fontId="6" fillId="2" borderId="9" xfId="0" applyNumberFormat="1" applyFont="1" applyFill="1" applyBorder="1" applyProtection="1">
      <protection locked="0"/>
    </xf>
    <xf numFmtId="4" fontId="6" fillId="2" borderId="5" xfId="0" applyNumberFormat="1" applyFont="1" applyFill="1" applyBorder="1" applyProtection="1">
      <protection locked="0"/>
    </xf>
    <xf numFmtId="15" fontId="6" fillId="2" borderId="3" xfId="0" applyNumberFormat="1" applyFont="1" applyFill="1" applyBorder="1" applyAlignment="1">
      <alignment horizontal="center"/>
    </xf>
    <xf numFmtId="0" fontId="6" fillId="2" borderId="10" xfId="0" applyFont="1" applyFill="1" applyBorder="1"/>
    <xf numFmtId="0" fontId="6" fillId="2" borderId="8" xfId="0" applyFont="1" applyFill="1" applyBorder="1" applyAlignment="1">
      <alignment horizontal="center"/>
    </xf>
    <xf numFmtId="4" fontId="6" fillId="2" borderId="0" xfId="0" applyNumberFormat="1" applyFont="1" applyFill="1" applyBorder="1" applyProtection="1">
      <protection locked="0"/>
    </xf>
    <xf numFmtId="4" fontId="6" fillId="2" borderId="10" xfId="0" applyNumberFormat="1" applyFont="1" applyFill="1" applyBorder="1" applyProtection="1">
      <protection locked="0"/>
    </xf>
    <xf numFmtId="0" fontId="6" fillId="2" borderId="11" xfId="0" applyFont="1" applyFill="1" applyBorder="1"/>
    <xf numFmtId="0" fontId="6" fillId="2" borderId="6" xfId="0" applyFont="1" applyFill="1" applyBorder="1"/>
    <xf numFmtId="0" fontId="6" fillId="2" borderId="12" xfId="0" applyFont="1" applyFill="1" applyBorder="1"/>
    <xf numFmtId="0" fontId="6" fillId="2" borderId="13" xfId="0" applyFont="1" applyFill="1" applyBorder="1"/>
    <xf numFmtId="4" fontId="6" fillId="2" borderId="11" xfId="0" applyNumberFormat="1" applyFont="1" applyFill="1" applyBorder="1" applyProtection="1">
      <protection locked="0"/>
    </xf>
    <xf numFmtId="4" fontId="6" fillId="2" borderId="6" xfId="0" applyNumberFormat="1" applyFont="1" applyFill="1" applyBorder="1" applyProtection="1">
      <protection locked="0"/>
    </xf>
    <xf numFmtId="0" fontId="5" fillId="2" borderId="2" xfId="0" applyFont="1" applyFill="1" applyBorder="1" applyAlignment="1">
      <alignment horizontal="center" vertical="justify"/>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6" fillId="2" borderId="2" xfId="0" applyFont="1" applyFill="1" applyBorder="1"/>
    <xf numFmtId="0" fontId="6" fillId="2" borderId="3" xfId="0" applyFont="1" applyFill="1" applyBorder="1" applyAlignment="1">
      <alignment horizontal="left"/>
    </xf>
    <xf numFmtId="0" fontId="6" fillId="2" borderId="3" xfId="0" applyFont="1" applyFill="1" applyBorder="1" applyAlignment="1">
      <alignment horizontal="center"/>
    </xf>
    <xf numFmtId="0" fontId="6" fillId="2" borderId="8" xfId="0" applyFont="1" applyFill="1" applyBorder="1" applyAlignment="1">
      <alignment horizontal="left"/>
    </xf>
    <xf numFmtId="0" fontId="6" fillId="2" borderId="10" xfId="0" applyFont="1" applyFill="1" applyBorder="1" applyAlignment="1">
      <alignment horizontal="center"/>
    </xf>
    <xf numFmtId="4" fontId="6" fillId="2" borderId="3" xfId="0" applyNumberFormat="1" applyFont="1" applyFill="1" applyBorder="1" applyProtection="1">
      <protection locked="0"/>
    </xf>
    <xf numFmtId="4" fontId="6" fillId="35" borderId="10" xfId="0" applyNumberFormat="1" applyFont="1" applyFill="1" applyBorder="1" applyProtection="1">
      <protection locked="0"/>
    </xf>
    <xf numFmtId="0" fontId="6" fillId="2" borderId="14" xfId="0" applyFont="1" applyFill="1" applyBorder="1"/>
    <xf numFmtId="4" fontId="5" fillId="2" borderId="1" xfId="0" applyNumberFormat="1" applyFont="1" applyFill="1" applyBorder="1" applyProtection="1">
      <protection locked="0"/>
    </xf>
    <xf numFmtId="180" fontId="6" fillId="2" borderId="0" xfId="0" applyNumberFormat="1" applyFont="1" applyFill="1" applyBorder="1"/>
    <xf numFmtId="10" fontId="5" fillId="3" borderId="2" xfId="0" applyNumberFormat="1" applyFont="1" applyFill="1" applyBorder="1" applyAlignment="1" applyProtection="1">
      <alignment horizontal="center" vertical="center" wrapText="1"/>
      <protection locked="0"/>
    </xf>
    <xf numFmtId="10" fontId="5"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xf>
    <xf numFmtId="3" fontId="6" fillId="2" borderId="10" xfId="0" applyNumberFormat="1" applyFont="1" applyFill="1" applyBorder="1" applyProtection="1">
      <protection locked="0"/>
    </xf>
    <xf numFmtId="3" fontId="6" fillId="2" borderId="6" xfId="0" applyNumberFormat="1" applyFont="1" applyFill="1" applyBorder="1"/>
    <xf numFmtId="3" fontId="5" fillId="2" borderId="15" xfId="0" applyNumberFormat="1" applyFont="1" applyFill="1" applyBorder="1" applyProtection="1">
      <protection locked="0"/>
    </xf>
    <xf numFmtId="3" fontId="6" fillId="2" borderId="3" xfId="0" applyNumberFormat="1" applyFont="1" applyFill="1" applyBorder="1" applyProtection="1">
      <protection locked="0"/>
    </xf>
    <xf numFmtId="3" fontId="6" fillId="35" borderId="10" xfId="0" applyNumberFormat="1" applyFont="1" applyFill="1" applyBorder="1" applyProtection="1">
      <protection locked="0"/>
    </xf>
    <xf numFmtId="3" fontId="6" fillId="2" borderId="10" xfId="67" applyNumberFormat="1" applyFont="1" applyFill="1" applyBorder="1"/>
    <xf numFmtId="3" fontId="5" fillId="3" borderId="3" xfId="0" applyNumberFormat="1" applyFont="1" applyFill="1" applyBorder="1" applyAlignment="1">
      <alignment horizontal="center" vertical="center" wrapText="1"/>
    </xf>
    <xf numFmtId="3" fontId="5" fillId="3" borderId="2" xfId="0" applyNumberFormat="1" applyFont="1" applyFill="1" applyBorder="1" applyAlignment="1" applyProtection="1">
      <alignment horizontal="center" vertical="center" wrapText="1"/>
      <protection locked="0"/>
    </xf>
    <xf numFmtId="3" fontId="5" fillId="2" borderId="1" xfId="0" applyNumberFormat="1" applyFont="1" applyFill="1" applyBorder="1" applyProtection="1">
      <protection locked="0"/>
    </xf>
    <xf numFmtId="0" fontId="5" fillId="3" borderId="0" xfId="0" applyFont="1" applyFill="1" applyBorder="1" applyAlignment="1">
      <alignment vertical="center"/>
    </xf>
    <xf numFmtId="0" fontId="6" fillId="2" borderId="0" xfId="0" applyFont="1" applyFill="1" applyBorder="1" applyAlignment="1">
      <alignment horizontal="center"/>
    </xf>
    <xf numFmtId="0" fontId="32" fillId="35" borderId="10" xfId="131" applyFont="1" applyFill="1" applyBorder="1"/>
    <xf numFmtId="0" fontId="6" fillId="35" borderId="10" xfId="0" applyFont="1" applyFill="1" applyBorder="1" applyAlignment="1">
      <alignment horizontal="center"/>
    </xf>
    <xf numFmtId="0" fontId="6" fillId="35" borderId="8" xfId="0" applyFont="1" applyFill="1" applyBorder="1" applyAlignment="1">
      <alignment horizontal="left"/>
    </xf>
    <xf numFmtId="15" fontId="6" fillId="35" borderId="3" xfId="0" applyNumberFormat="1" applyFont="1" applyFill="1" applyBorder="1" applyAlignment="1">
      <alignment horizontal="center"/>
    </xf>
    <xf numFmtId="0" fontId="6" fillId="35" borderId="3" xfId="0" applyFont="1" applyFill="1" applyBorder="1" applyAlignment="1">
      <alignment horizontal="left"/>
    </xf>
    <xf numFmtId="0" fontId="6" fillId="35" borderId="3" xfId="0" applyFont="1" applyFill="1" applyBorder="1" applyAlignment="1">
      <alignment horizontal="center"/>
    </xf>
    <xf numFmtId="0" fontId="6" fillId="35" borderId="0" xfId="0" applyFont="1" applyFill="1" applyBorder="1"/>
    <xf numFmtId="4" fontId="6" fillId="2" borderId="0" xfId="0" applyNumberFormat="1" applyFont="1" applyFill="1" applyBorder="1"/>
    <xf numFmtId="3" fontId="6" fillId="2" borderId="14" xfId="0" applyNumberFormat="1" applyFont="1" applyFill="1" applyBorder="1"/>
    <xf numFmtId="3" fontId="5" fillId="3" borderId="1" xfId="0" applyNumberFormat="1" applyFont="1" applyFill="1" applyBorder="1" applyAlignment="1" applyProtection="1">
      <alignment horizontal="center" vertical="center"/>
      <protection locked="0"/>
    </xf>
    <xf numFmtId="0" fontId="6" fillId="35" borderId="0" xfId="0" applyFont="1" applyFill="1"/>
    <xf numFmtId="0" fontId="6" fillId="35" borderId="10" xfId="0" applyFont="1" applyFill="1" applyBorder="1"/>
    <xf numFmtId="4" fontId="6" fillId="2" borderId="13" xfId="0" applyNumberFormat="1" applyFont="1" applyFill="1" applyBorder="1" applyProtection="1">
      <protection locked="0"/>
    </xf>
    <xf numFmtId="0" fontId="6" fillId="35" borderId="8" xfId="0" applyFont="1" applyFill="1" applyBorder="1"/>
    <xf numFmtId="4" fontId="6" fillId="2" borderId="8" xfId="0" applyNumberFormat="1" applyFont="1" applyFill="1" applyBorder="1"/>
    <xf numFmtId="3" fontId="6" fillId="35" borderId="3" xfId="0" applyNumberFormat="1" applyFont="1" applyFill="1" applyBorder="1" applyProtection="1">
      <protection locked="0"/>
    </xf>
    <xf numFmtId="0" fontId="32" fillId="35" borderId="0" xfId="85" applyFont="1" applyFill="1"/>
    <xf numFmtId="15" fontId="32" fillId="35" borderId="0" xfId="85" applyNumberFormat="1" applyFont="1" applyFill="1"/>
    <xf numFmtId="0" fontId="32" fillId="35" borderId="8" xfId="85" applyFont="1" applyFill="1" applyBorder="1"/>
    <xf numFmtId="0" fontId="32" fillId="35" borderId="0" xfId="85" applyFont="1" applyFill="1" applyBorder="1"/>
    <xf numFmtId="0" fontId="32" fillId="35" borderId="10" xfId="85" applyFont="1" applyFill="1" applyBorder="1"/>
    <xf numFmtId="178" fontId="6" fillId="2" borderId="8" xfId="67" applyFont="1" applyFill="1" applyBorder="1"/>
    <xf numFmtId="3" fontId="6" fillId="2" borderId="3" xfId="0" applyNumberFormat="1" applyFont="1" applyFill="1" applyBorder="1"/>
    <xf numFmtId="15" fontId="6" fillId="2" borderId="8" xfId="0" applyNumberFormat="1"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xf numFmtId="0" fontId="6" fillId="2" borderId="1" xfId="0" applyFont="1" applyFill="1" applyBorder="1"/>
    <xf numFmtId="0" fontId="5" fillId="2" borderId="3" xfId="0" applyFont="1" applyFill="1" applyBorder="1" applyAlignment="1">
      <alignment horizontal="center" vertic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5" fillId="2" borderId="10" xfId="0" applyFont="1" applyFill="1" applyBorder="1" applyAlignment="1">
      <alignment horizontal="center" vertical="center"/>
    </xf>
    <xf numFmtId="0" fontId="6" fillId="35" borderId="0" xfId="0" applyFont="1" applyFill="1" applyBorder="1" applyAlignment="1">
      <alignment horizontal="left"/>
    </xf>
    <xf numFmtId="15" fontId="6" fillId="2" borderId="14" xfId="0" applyNumberFormat="1" applyFont="1" applyFill="1" applyBorder="1" applyAlignment="1">
      <alignment horizontal="center"/>
    </xf>
    <xf numFmtId="0" fontId="6" fillId="2" borderId="14" xfId="0" applyFont="1" applyFill="1" applyBorder="1" applyAlignment="1">
      <alignment horizontal="left"/>
    </xf>
    <xf numFmtId="180" fontId="6" fillId="2" borderId="0" xfId="0" applyNumberFormat="1" applyFont="1" applyFill="1"/>
    <xf numFmtId="0" fontId="5" fillId="2" borderId="13" xfId="0" applyFont="1" applyFill="1" applyBorder="1" applyAlignment="1">
      <alignment horizontal="center"/>
    </xf>
    <xf numFmtId="0" fontId="5" fillId="2" borderId="7" xfId="0" applyFont="1" applyFill="1" applyBorder="1" applyAlignment="1">
      <alignment horizontal="center" vertical="center"/>
    </xf>
    <xf numFmtId="4" fontId="6" fillId="35" borderId="0" xfId="0" applyNumberFormat="1" applyFont="1" applyFill="1" applyBorder="1" applyProtection="1">
      <protection locked="0"/>
    </xf>
    <xf numFmtId="0" fontId="6" fillId="35" borderId="11" xfId="0" applyFont="1" applyFill="1" applyBorder="1"/>
    <xf numFmtId="0" fontId="6" fillId="35" borderId="6" xfId="0" applyFont="1" applyFill="1" applyBorder="1"/>
    <xf numFmtId="0" fontId="6" fillId="35" borderId="14" xfId="0" applyFont="1" applyFill="1" applyBorder="1"/>
    <xf numFmtId="3" fontId="6" fillId="35" borderId="6" xfId="0" applyNumberFormat="1" applyFont="1" applyFill="1" applyBorder="1"/>
    <xf numFmtId="3" fontId="5" fillId="3" borderId="1" xfId="0" applyNumberFormat="1" applyFont="1" applyFill="1" applyBorder="1" applyAlignment="1" applyProtection="1">
      <alignment horizontal="center" vertical="center" wrapText="1"/>
      <protection locked="0"/>
    </xf>
    <xf numFmtId="0" fontId="6" fillId="2" borderId="8" xfId="0" applyFont="1" applyFill="1" applyBorder="1" applyAlignment="1">
      <alignment horizontal="center" vertical="center"/>
    </xf>
    <xf numFmtId="15" fontId="6" fillId="2" borderId="7" xfId="0" applyNumberFormat="1" applyFont="1" applyFill="1" applyBorder="1" applyAlignment="1">
      <alignment horizontal="center"/>
    </xf>
    <xf numFmtId="4" fontId="6" fillId="2" borderId="2" xfId="0" applyNumberFormat="1" applyFont="1" applyFill="1" applyBorder="1"/>
    <xf numFmtId="0" fontId="6" fillId="2" borderId="3" xfId="0" applyFont="1" applyFill="1" applyBorder="1" applyAlignment="1">
      <alignment horizontal="center" vertical="center"/>
    </xf>
    <xf numFmtId="15" fontId="6" fillId="35" borderId="2" xfId="0" applyNumberFormat="1" applyFont="1" applyFill="1" applyBorder="1"/>
    <xf numFmtId="0" fontId="6" fillId="35" borderId="7" xfId="0" applyFont="1" applyFill="1" applyBorder="1"/>
    <xf numFmtId="15" fontId="6" fillId="35" borderId="5" xfId="0" applyNumberFormat="1" applyFont="1" applyFill="1" applyBorder="1"/>
    <xf numFmtId="0" fontId="6" fillId="35" borderId="9" xfId="0" applyFont="1" applyFill="1" applyBorder="1"/>
    <xf numFmtId="0" fontId="6" fillId="35" borderId="5" xfId="0" applyFont="1" applyFill="1" applyBorder="1"/>
    <xf numFmtId="4" fontId="6" fillId="35" borderId="2" xfId="0" applyNumberFormat="1" applyFont="1" applyFill="1" applyBorder="1"/>
    <xf numFmtId="0" fontId="5" fillId="2" borderId="8" xfId="0" applyFont="1" applyFill="1" applyBorder="1" applyAlignment="1">
      <alignment horizontal="center" vertical="center"/>
    </xf>
    <xf numFmtId="0" fontId="32" fillId="35" borderId="0" xfId="0" applyFont="1" applyFill="1" applyBorder="1" applyAlignment="1">
      <alignment horizontal="left" vertical="center"/>
    </xf>
    <xf numFmtId="0" fontId="32" fillId="35" borderId="10" xfId="0" applyFont="1" applyFill="1" applyBorder="1" applyAlignment="1">
      <alignment horizontal="left" vertical="center"/>
    </xf>
    <xf numFmtId="0" fontId="5" fillId="2" borderId="0" xfId="0" applyFont="1" applyFill="1" applyBorder="1" applyAlignment="1">
      <alignment horizontal="center" vertical="center"/>
    </xf>
    <xf numFmtId="15" fontId="6" fillId="35" borderId="14" xfId="0" applyNumberFormat="1" applyFont="1" applyFill="1" applyBorder="1"/>
    <xf numFmtId="15" fontId="6" fillId="35" borderId="6" xfId="0" applyNumberFormat="1" applyFont="1" applyFill="1" applyBorder="1"/>
    <xf numFmtId="0" fontId="6" fillId="35" borderId="4" xfId="0" applyFont="1" applyFill="1" applyBorder="1"/>
    <xf numFmtId="4" fontId="5" fillId="3" borderId="2" xfId="0" applyNumberFormat="1" applyFont="1" applyFill="1" applyBorder="1" applyAlignment="1" applyProtection="1">
      <alignment horizontal="center" vertical="center" wrapText="1"/>
      <protection locked="0"/>
    </xf>
    <xf numFmtId="3" fontId="6" fillId="35" borderId="14" xfId="0" applyNumberFormat="1" applyFont="1" applyFill="1" applyBorder="1"/>
    <xf numFmtId="3" fontId="5" fillId="2" borderId="6" xfId="0" applyNumberFormat="1" applyFont="1" applyFill="1" applyBorder="1" applyProtection="1">
      <protection locked="0"/>
    </xf>
    <xf numFmtId="0" fontId="5" fillId="2" borderId="13" xfId="0" applyFont="1" applyFill="1" applyBorder="1" applyAlignment="1">
      <alignment horizontal="left"/>
    </xf>
    <xf numFmtId="14" fontId="6" fillId="2" borderId="3" xfId="0" applyNumberFormat="1" applyFont="1" applyFill="1" applyBorder="1"/>
    <xf numFmtId="4" fontId="6" fillId="2" borderId="5" xfId="67" applyNumberFormat="1" applyFont="1" applyFill="1" applyBorder="1" applyAlignment="1"/>
    <xf numFmtId="0" fontId="6" fillId="2" borderId="8" xfId="0" applyFont="1" applyFill="1" applyBorder="1" applyAlignment="1">
      <alignment horizontal="left" vertical="center"/>
    </xf>
    <xf numFmtId="3" fontId="6" fillId="2" borderId="10" xfId="0" applyNumberFormat="1" applyFont="1" applyFill="1" applyBorder="1" applyAlignment="1" applyProtection="1">
      <alignment horizontal="right" vertical="center"/>
      <protection locked="0"/>
    </xf>
    <xf numFmtId="4" fontId="6" fillId="2" borderId="6" xfId="0" applyNumberFormat="1" applyFont="1" applyFill="1" applyBorder="1"/>
    <xf numFmtId="3" fontId="7" fillId="3" borderId="1" xfId="0" applyNumberFormat="1" applyFont="1" applyFill="1" applyBorder="1" applyAlignment="1" applyProtection="1">
      <alignment horizontal="center" vertical="center"/>
      <protection locked="0"/>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5" xfId="0" applyFont="1" applyFill="1" applyBorder="1" applyAlignment="1">
      <alignment horizontal="center"/>
    </xf>
    <xf numFmtId="4" fontId="6" fillId="2" borderId="4" xfId="0" applyNumberFormat="1" applyFont="1" applyFill="1" applyBorder="1" applyProtection="1">
      <protection locked="0"/>
    </xf>
    <xf numFmtId="4" fontId="8" fillId="2" borderId="10" xfId="0" applyNumberFormat="1" applyFont="1" applyFill="1" applyBorder="1" applyProtection="1">
      <protection locked="0"/>
    </xf>
    <xf numFmtId="0" fontId="8" fillId="2" borderId="8" xfId="0" applyFont="1" applyFill="1" applyBorder="1"/>
    <xf numFmtId="3" fontId="8" fillId="2" borderId="10" xfId="0" applyNumberFormat="1" applyFont="1" applyFill="1" applyBorder="1" applyProtection="1">
      <protection locked="0"/>
    </xf>
    <xf numFmtId="0" fontId="6" fillId="35" borderId="8" xfId="0" applyFont="1" applyFill="1" applyBorder="1" applyAlignment="1">
      <alignment horizontal="center"/>
    </xf>
    <xf numFmtId="0" fontId="8" fillId="35" borderId="8" xfId="0" applyFont="1" applyFill="1" applyBorder="1"/>
    <xf numFmtId="0" fontId="32" fillId="0" borderId="10" xfId="75" applyFont="1" applyBorder="1"/>
    <xf numFmtId="3" fontId="6" fillId="2" borderId="0" xfId="0" applyNumberFormat="1" applyFont="1" applyFill="1"/>
    <xf numFmtId="4" fontId="5" fillId="2" borderId="13" xfId="0" applyNumberFormat="1" applyFont="1" applyFill="1" applyBorder="1" applyProtection="1">
      <protection locked="0"/>
    </xf>
    <xf numFmtId="4" fontId="6" fillId="2" borderId="4" xfId="0" applyNumberFormat="1" applyFont="1" applyFill="1" applyBorder="1"/>
    <xf numFmtId="179" fontId="6" fillId="2" borderId="5" xfId="67" applyNumberFormat="1" applyFont="1" applyFill="1" applyBorder="1" applyAlignment="1">
      <alignment horizontal="left"/>
    </xf>
    <xf numFmtId="4" fontId="6" fillId="2" borderId="15" xfId="0" applyNumberFormat="1" applyFont="1" applyFill="1" applyBorder="1" applyProtection="1">
      <protection locked="0"/>
    </xf>
    <xf numFmtId="3" fontId="8" fillId="2" borderId="3" xfId="0" applyNumberFormat="1" applyFont="1" applyFill="1" applyBorder="1" applyProtection="1">
      <protection locked="0"/>
    </xf>
    <xf numFmtId="0" fontId="6" fillId="0" borderId="14" xfId="0" applyFont="1" applyBorder="1"/>
    <xf numFmtId="3" fontId="5" fillId="2" borderId="13" xfId="0" applyNumberFormat="1" applyFont="1" applyFill="1" applyBorder="1" applyProtection="1">
      <protection locked="0"/>
    </xf>
    <xf numFmtId="10" fontId="5" fillId="3" borderId="1" xfId="176" applyNumberFormat="1" applyFont="1" applyFill="1" applyBorder="1" applyAlignment="1" applyProtection="1">
      <alignment horizontal="center" vertical="center" wrapText="1"/>
      <protection locked="0"/>
    </xf>
    <xf numFmtId="4" fontId="6" fillId="2" borderId="13" xfId="0" applyNumberFormat="1" applyFont="1" applyFill="1" applyBorder="1"/>
    <xf numFmtId="4" fontId="32" fillId="0" borderId="13" xfId="115" applyNumberFormat="1" applyFont="1" applyBorder="1"/>
    <xf numFmtId="3" fontId="6" fillId="2" borderId="0" xfId="0" applyNumberFormat="1" applyFont="1" applyFill="1" applyBorder="1"/>
    <xf numFmtId="3" fontId="6" fillId="2" borderId="13" xfId="0" applyNumberFormat="1" applyFont="1" applyFill="1" applyBorder="1"/>
    <xf numFmtId="4" fontId="6" fillId="2" borderId="14" xfId="0" applyNumberFormat="1" applyFont="1" applyFill="1" applyBorder="1"/>
    <xf numFmtId="4" fontId="5" fillId="2" borderId="2" xfId="0" applyNumberFormat="1" applyFont="1" applyFill="1" applyBorder="1" applyAlignment="1" applyProtection="1">
      <alignment horizontal="right" vertical="center"/>
      <protection locked="0"/>
    </xf>
    <xf numFmtId="4" fontId="6" fillId="2" borderId="10" xfId="0" applyNumberFormat="1" applyFont="1" applyFill="1" applyBorder="1"/>
    <xf numFmtId="0" fontId="4" fillId="2" borderId="1" xfId="0" applyFont="1" applyFill="1" applyBorder="1" applyAlignment="1">
      <alignment horizontal="center" vertical="center"/>
    </xf>
    <xf numFmtId="4" fontId="5" fillId="2" borderId="1" xfId="0" applyNumberFormat="1" applyFont="1" applyFill="1" applyBorder="1" applyAlignment="1" applyProtection="1">
      <alignment horizontal="right" vertical="center"/>
      <protection locked="0"/>
    </xf>
    <xf numFmtId="0" fontId="4" fillId="2" borderId="0" xfId="0" applyFont="1" applyFill="1"/>
    <xf numFmtId="3" fontId="5" fillId="2" borderId="0" xfId="0" applyNumberFormat="1" applyFont="1" applyFill="1" applyBorder="1" applyAlignment="1">
      <alignment horizontal="center" vertical="center"/>
    </xf>
    <xf numFmtId="3" fontId="6" fillId="36" borderId="3" xfId="0" applyNumberFormat="1" applyFont="1" applyFill="1" applyBorder="1" applyAlignment="1" applyProtection="1">
      <alignment vertical="center"/>
      <protection locked="0"/>
    </xf>
    <xf numFmtId="0" fontId="5" fillId="35" borderId="0" xfId="0" applyFont="1" applyFill="1" applyBorder="1" applyAlignment="1">
      <alignment vertical="center" wrapText="1"/>
    </xf>
    <xf numFmtId="0" fontId="5" fillId="35" borderId="0" xfId="0" applyFont="1" applyFill="1" applyBorder="1" applyAlignment="1">
      <alignment vertical="center"/>
    </xf>
    <xf numFmtId="0" fontId="5" fillId="35" borderId="0" xfId="0" applyFont="1" applyFill="1" applyBorder="1" applyAlignment="1">
      <alignment horizontal="center" vertical="center" wrapText="1"/>
    </xf>
    <xf numFmtId="0" fontId="9" fillId="35" borderId="0" xfId="0" quotePrefix="1" applyFont="1" applyFill="1" applyBorder="1" applyAlignment="1">
      <alignment horizontal="right" vertical="center"/>
    </xf>
    <xf numFmtId="0" fontId="4" fillId="2" borderId="0" xfId="0" applyFont="1" applyFill="1" applyAlignment="1">
      <alignment vertical="center"/>
    </xf>
    <xf numFmtId="0" fontId="10" fillId="2" borderId="0" xfId="0" applyFont="1" applyFill="1"/>
    <xf numFmtId="4" fontId="4" fillId="2" borderId="0" xfId="0" applyNumberFormat="1" applyFont="1" applyFill="1" applyAlignment="1">
      <alignment vertical="center"/>
    </xf>
    <xf numFmtId="0" fontId="4" fillId="3" borderId="0" xfId="0" quotePrefix="1" applyFont="1" applyFill="1" applyBorder="1" applyAlignment="1">
      <alignment horizontal="righ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7" borderId="1" xfId="0" applyFont="1" applyFill="1" applyBorder="1" applyAlignment="1">
      <alignment horizontal="center" vertical="center"/>
    </xf>
    <xf numFmtId="0" fontId="10" fillId="34" borderId="2" xfId="0" applyNumberFormat="1" applyFont="1" applyFill="1" applyBorder="1" applyAlignment="1" applyProtection="1">
      <alignment horizontal="left" vertical="center"/>
      <protection locked="0"/>
    </xf>
    <xf numFmtId="0" fontId="10" fillId="34" borderId="2" xfId="0" applyNumberFormat="1" applyFont="1" applyFill="1" applyBorder="1" applyAlignment="1">
      <alignment horizontal="left" vertical="center"/>
    </xf>
    <xf numFmtId="3" fontId="10" fillId="34" borderId="2" xfId="0" applyNumberFormat="1" applyFont="1" applyFill="1" applyBorder="1" applyAlignment="1" applyProtection="1">
      <alignment vertical="center"/>
      <protection locked="0"/>
    </xf>
    <xf numFmtId="10" fontId="10" fillId="34" borderId="2" xfId="0" applyNumberFormat="1" applyFont="1" applyFill="1" applyBorder="1" applyAlignment="1" applyProtection="1">
      <alignment horizontal="center" vertical="center"/>
      <protection locked="0"/>
    </xf>
    <xf numFmtId="0" fontId="10" fillId="2" borderId="3" xfId="0" applyNumberFormat="1" applyFont="1" applyFill="1" applyBorder="1" applyAlignment="1" applyProtection="1">
      <alignment horizontal="left" vertical="center"/>
      <protection locked="0"/>
    </xf>
    <xf numFmtId="0" fontId="10" fillId="2" borderId="3" xfId="0" applyFont="1" applyFill="1" applyBorder="1" applyAlignment="1">
      <alignment vertical="center"/>
    </xf>
    <xf numFmtId="3" fontId="10" fillId="2" borderId="3" xfId="0" applyNumberFormat="1" applyFont="1" applyFill="1" applyBorder="1" applyAlignment="1" applyProtection="1">
      <alignment vertical="center"/>
      <protection locked="0"/>
    </xf>
    <xf numFmtId="10" fontId="10" fillId="2" borderId="3" xfId="0" applyNumberFormat="1" applyFont="1" applyFill="1" applyBorder="1" applyAlignment="1" applyProtection="1">
      <alignment horizontal="center" vertical="center"/>
      <protection locked="0"/>
    </xf>
    <xf numFmtId="181" fontId="10" fillId="2" borderId="3" xfId="0" applyNumberFormat="1" applyFont="1" applyFill="1" applyBorder="1" applyAlignment="1" applyProtection="1">
      <alignment vertical="center"/>
      <protection locked="0"/>
    </xf>
    <xf numFmtId="4" fontId="10" fillId="2" borderId="3" xfId="0" applyNumberFormat="1" applyFont="1" applyFill="1" applyBorder="1" applyAlignment="1" applyProtection="1">
      <alignment vertical="center"/>
      <protection locked="0"/>
    </xf>
    <xf numFmtId="0" fontId="10" fillId="34" borderId="3" xfId="0" applyNumberFormat="1" applyFont="1" applyFill="1" applyBorder="1" applyAlignment="1" applyProtection="1">
      <alignment horizontal="left" vertical="center"/>
      <protection locked="0"/>
    </xf>
    <xf numFmtId="0" fontId="10" fillId="34" borderId="3" xfId="0" applyNumberFormat="1" applyFont="1" applyFill="1" applyBorder="1" applyAlignment="1">
      <alignment horizontal="left" vertical="center"/>
    </xf>
    <xf numFmtId="3" fontId="10" fillId="34" borderId="3" xfId="0" applyNumberFormat="1" applyFont="1" applyFill="1" applyBorder="1" applyAlignment="1" applyProtection="1">
      <alignment vertical="center"/>
      <protection locked="0"/>
    </xf>
    <xf numFmtId="10" fontId="10" fillId="34" borderId="3" xfId="0" applyNumberFormat="1" applyFont="1" applyFill="1" applyBorder="1" applyAlignment="1" applyProtection="1">
      <alignment horizontal="center" vertical="center"/>
      <protection locked="0"/>
    </xf>
    <xf numFmtId="0" fontId="10" fillId="2" borderId="3" xfId="0" applyNumberFormat="1" applyFont="1" applyFill="1" applyBorder="1" applyAlignment="1">
      <alignment horizontal="left" vertical="center"/>
    </xf>
    <xf numFmtId="4" fontId="4" fillId="2" borderId="2" xfId="0" applyNumberFormat="1" applyFont="1" applyFill="1" applyBorder="1" applyAlignment="1" applyProtection="1">
      <alignment horizontal="left" vertical="center"/>
      <protection locked="0"/>
    </xf>
    <xf numFmtId="0" fontId="4" fillId="2" borderId="2" xfId="0" applyFont="1" applyFill="1" applyBorder="1" applyAlignment="1">
      <alignment vertical="center"/>
    </xf>
    <xf numFmtId="3" fontId="4" fillId="2" borderId="2" xfId="0" applyNumberFormat="1" applyFont="1" applyFill="1" applyBorder="1" applyAlignment="1" applyProtection="1">
      <alignment horizontal="right" vertical="center"/>
      <protection locked="0"/>
    </xf>
    <xf numFmtId="10" fontId="4" fillId="2" borderId="2" xfId="176" applyNumberFormat="1" applyFont="1" applyFill="1" applyBorder="1" applyAlignment="1" applyProtection="1">
      <alignment horizontal="center" vertical="center"/>
      <protection locked="0"/>
    </xf>
    <xf numFmtId="4" fontId="4" fillId="2" borderId="2" xfId="0" applyNumberFormat="1" applyFont="1" applyFill="1" applyBorder="1" applyAlignment="1" applyProtection="1">
      <alignment horizontal="right" vertical="center"/>
      <protection locked="0"/>
    </xf>
    <xf numFmtId="4" fontId="4" fillId="2" borderId="3" xfId="0" applyNumberFormat="1" applyFont="1" applyFill="1" applyBorder="1" applyAlignment="1" applyProtection="1">
      <alignment horizontal="left" vertical="center"/>
      <protection locked="0"/>
    </xf>
    <xf numFmtId="0" fontId="4" fillId="2" borderId="3" xfId="0" applyFont="1" applyFill="1" applyBorder="1" applyAlignment="1">
      <alignment vertical="center"/>
    </xf>
    <xf numFmtId="3" fontId="4" fillId="2" borderId="3" xfId="0" applyNumberFormat="1" applyFont="1" applyFill="1" applyBorder="1" applyAlignment="1" applyProtection="1">
      <alignment horizontal="right" vertical="center"/>
      <protection locked="0"/>
    </xf>
    <xf numFmtId="10" fontId="4" fillId="2" borderId="3" xfId="0" applyNumberFormat="1" applyFont="1" applyFill="1" applyBorder="1" applyAlignment="1" applyProtection="1">
      <alignment horizontal="center" vertical="center"/>
      <protection locked="0"/>
    </xf>
    <xf numFmtId="3" fontId="10" fillId="2" borderId="3" xfId="0" applyNumberFormat="1" applyFont="1" applyFill="1" applyBorder="1" applyAlignment="1" applyProtection="1">
      <alignment horizontal="right" vertical="center"/>
      <protection locked="0"/>
    </xf>
    <xf numFmtId="10" fontId="10" fillId="2" borderId="3" xfId="176"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left" vertical="center"/>
      <protection locked="0"/>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protection locked="0"/>
    </xf>
    <xf numFmtId="3" fontId="4" fillId="36" borderId="1" xfId="0" applyNumberFormat="1" applyFont="1" applyFill="1" applyBorder="1" applyAlignment="1" applyProtection="1">
      <alignment horizontal="right" vertical="center"/>
      <protection locked="0"/>
    </xf>
    <xf numFmtId="10" fontId="4" fillId="2" borderId="1" xfId="176" applyNumberFormat="1" applyFont="1" applyFill="1" applyBorder="1" applyAlignment="1" applyProtection="1">
      <alignment horizontal="center" vertical="center"/>
      <protection locked="0"/>
    </xf>
    <xf numFmtId="3" fontId="4" fillId="38" borderId="1" xfId="0" applyNumberFormat="1" applyFont="1" applyFill="1" applyBorder="1" applyAlignment="1" applyProtection="1">
      <alignment horizontal="right" vertical="center"/>
      <protection locked="0"/>
    </xf>
    <xf numFmtId="3" fontId="4" fillId="37" borderId="1" xfId="0" applyNumberFormat="1" applyFont="1" applyFill="1" applyBorder="1" applyAlignment="1" applyProtection="1">
      <alignment horizontal="right" vertical="center"/>
      <protection locked="0"/>
    </xf>
    <xf numFmtId="0" fontId="6" fillId="35" borderId="14" xfId="0" applyFont="1" applyFill="1" applyBorder="1" applyProtection="1">
      <protection locked="0"/>
    </xf>
    <xf numFmtId="0" fontId="6" fillId="35" borderId="11" xfId="0" applyFont="1" applyFill="1" applyBorder="1" applyProtection="1">
      <protection locked="0"/>
    </xf>
    <xf numFmtId="3" fontId="32" fillId="35" borderId="0" xfId="146" applyNumberFormat="1" applyFont="1" applyFill="1"/>
    <xf numFmtId="3" fontId="10" fillId="2" borderId="0" xfId="0" applyNumberFormat="1" applyFont="1" applyFill="1"/>
    <xf numFmtId="3" fontId="6" fillId="2" borderId="10" xfId="0" applyNumberFormat="1" applyFont="1" applyFill="1" applyBorder="1"/>
    <xf numFmtId="0" fontId="11" fillId="38" borderId="1" xfId="0" applyFont="1" applyFill="1" applyBorder="1" applyAlignment="1">
      <alignment horizontal="center" vertical="center" wrapText="1"/>
    </xf>
    <xf numFmtId="3" fontId="6" fillId="2" borderId="8" xfId="0" applyNumberFormat="1" applyFont="1" applyFill="1" applyBorder="1"/>
    <xf numFmtId="3" fontId="6" fillId="0" borderId="0" xfId="0" applyNumberFormat="1" applyFont="1"/>
    <xf numFmtId="4" fontId="6" fillId="0" borderId="0" xfId="0" applyNumberFormat="1" applyFont="1"/>
    <xf numFmtId="3" fontId="5" fillId="3" borderId="0" xfId="0" applyNumberFormat="1" applyFont="1" applyFill="1" applyBorder="1" applyAlignment="1">
      <alignment horizontal="center" vertical="justify"/>
    </xf>
    <xf numFmtId="3" fontId="6" fillId="2" borderId="11" xfId="0" applyNumberFormat="1" applyFont="1" applyFill="1" applyBorder="1" applyProtection="1">
      <protection locked="0"/>
    </xf>
    <xf numFmtId="3" fontId="4"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xf>
    <xf numFmtId="3" fontId="6" fillId="35" borderId="0" xfId="0" applyNumberFormat="1" applyFont="1" applyFill="1" applyBorder="1" applyProtection="1">
      <protection locked="0"/>
    </xf>
    <xf numFmtId="3" fontId="6" fillId="35" borderId="8" xfId="0" applyNumberFormat="1" applyFont="1" applyFill="1" applyBorder="1" applyProtection="1">
      <protection locked="0"/>
    </xf>
    <xf numFmtId="0" fontId="6" fillId="0" borderId="11" xfId="0" applyFont="1" applyBorder="1"/>
    <xf numFmtId="0" fontId="6" fillId="2" borderId="11" xfId="0" applyFont="1" applyFill="1" applyBorder="1" applyAlignment="1">
      <alignment horizontal="left"/>
    </xf>
    <xf numFmtId="0" fontId="32" fillId="35" borderId="11" xfId="144" applyFont="1" applyFill="1" applyBorder="1" applyAlignment="1">
      <alignment horizontal="center"/>
    </xf>
    <xf numFmtId="0" fontId="32" fillId="35" borderId="8" xfId="144" applyFont="1" applyFill="1" applyBorder="1" applyAlignment="1">
      <alignment horizontal="center"/>
    </xf>
    <xf numFmtId="0" fontId="6" fillId="0" borderId="7" xfId="0" applyFont="1" applyBorder="1"/>
    <xf numFmtId="0" fontId="6" fillId="2" borderId="3" xfId="0" applyNumberFormat="1" applyFont="1" applyFill="1" applyBorder="1" applyAlignment="1">
      <alignment horizontal="center"/>
    </xf>
    <xf numFmtId="3" fontId="6" fillId="2" borderId="8" xfId="0" applyNumberFormat="1" applyFont="1" applyFill="1" applyBorder="1" applyAlignment="1" applyProtection="1">
      <alignment horizontal="left"/>
      <protection locked="0"/>
    </xf>
    <xf numFmtId="3" fontId="6" fillId="2" borderId="10" xfId="0" applyNumberFormat="1" applyFont="1" applyFill="1" applyBorder="1" applyAlignment="1" applyProtection="1">
      <protection locked="0"/>
    </xf>
    <xf numFmtId="4" fontId="6" fillId="2" borderId="14" xfId="0" applyNumberFormat="1" applyFont="1" applyFill="1" applyBorder="1" applyProtection="1">
      <protection locked="0"/>
    </xf>
    <xf numFmtId="0" fontId="6" fillId="2" borderId="10" xfId="0" applyFont="1" applyFill="1" applyBorder="1" applyAlignment="1">
      <alignment horizontal="left"/>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xf>
    <xf numFmtId="0" fontId="6" fillId="2" borderId="7" xfId="0" applyFont="1" applyFill="1" applyBorder="1" applyAlignment="1">
      <alignment horizontal="left" vertical="center"/>
    </xf>
    <xf numFmtId="0" fontId="6" fillId="2" borderId="7" xfId="0" applyFont="1" applyFill="1" applyBorder="1" applyAlignment="1">
      <alignment horizontal="left"/>
    </xf>
    <xf numFmtId="179" fontId="6" fillId="2" borderId="5" xfId="67" applyNumberFormat="1" applyFont="1" applyFill="1" applyBorder="1" applyAlignment="1">
      <alignment horizontal="center" vertical="center"/>
    </xf>
    <xf numFmtId="179" fontId="6" fillId="2" borderId="2" xfId="67" applyNumberFormat="1" applyFont="1" applyFill="1" applyBorder="1"/>
    <xf numFmtId="0" fontId="10" fillId="35" borderId="3" xfId="0" applyFont="1" applyFill="1" applyBorder="1" applyAlignment="1">
      <alignment horizontal="left"/>
    </xf>
    <xf numFmtId="179" fontId="6" fillId="2" borderId="10" xfId="67" applyNumberFormat="1" applyFont="1" applyFill="1" applyBorder="1" applyAlignment="1">
      <alignment horizontal="right"/>
    </xf>
    <xf numFmtId="179" fontId="6" fillId="2" borderId="10" xfId="67" applyNumberFormat="1" applyFont="1" applyFill="1" applyBorder="1" applyAlignment="1">
      <alignment vertical="center"/>
    </xf>
    <xf numFmtId="0" fontId="0" fillId="0" borderId="0" xfId="0" applyAlignment="1">
      <alignment horizontal="center"/>
    </xf>
    <xf numFmtId="0" fontId="5" fillId="2" borderId="8" xfId="0" applyFont="1" applyFill="1" applyBorder="1" applyAlignment="1">
      <alignment horizontal="left" vertical="center"/>
    </xf>
    <xf numFmtId="0" fontId="5" fillId="2" borderId="8" xfId="0" applyFont="1" applyFill="1" applyBorder="1" applyAlignment="1">
      <alignment horizontal="center"/>
    </xf>
    <xf numFmtId="0" fontId="8" fillId="35" borderId="8" xfId="0" applyNumberFormat="1" applyFont="1" applyFill="1" applyBorder="1"/>
    <xf numFmtId="0" fontId="10" fillId="2" borderId="3" xfId="0" applyFont="1" applyFill="1" applyBorder="1"/>
    <xf numFmtId="179" fontId="6" fillId="2" borderId="3" xfId="67" applyNumberFormat="1" applyFont="1" applyFill="1" applyBorder="1"/>
    <xf numFmtId="179" fontId="6" fillId="2" borderId="3" xfId="67" applyNumberFormat="1" applyFont="1" applyFill="1" applyBorder="1" applyProtection="1">
      <protection locked="0"/>
    </xf>
    <xf numFmtId="179" fontId="6" fillId="2" borderId="10" xfId="67" applyNumberFormat="1" applyFont="1" applyFill="1" applyBorder="1" applyProtection="1">
      <protection locked="0"/>
    </xf>
    <xf numFmtId="179" fontId="6" fillId="2" borderId="10" xfId="67" applyNumberFormat="1" applyFont="1" applyFill="1" applyBorder="1" applyAlignment="1">
      <alignment horizontal="right" vertical="center"/>
    </xf>
    <xf numFmtId="0" fontId="6" fillId="35"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6" fillId="2" borderId="8" xfId="0" applyNumberFormat="1" applyFont="1" applyFill="1" applyBorder="1" applyAlignment="1">
      <alignment horizontal="center" vertical="center"/>
    </xf>
    <xf numFmtId="0" fontId="0" fillId="0" borderId="8" xfId="0" applyBorder="1"/>
    <xf numFmtId="0" fontId="0" fillId="0" borderId="7" xfId="0" applyBorder="1"/>
    <xf numFmtId="0" fontId="12" fillId="0" borderId="0" xfId="0" applyFont="1"/>
    <xf numFmtId="0" fontId="13" fillId="2" borderId="3" xfId="0" applyFont="1" applyFill="1" applyBorder="1" applyAlignment="1">
      <alignment horizontal="left"/>
    </xf>
    <xf numFmtId="0" fontId="32" fillId="0" borderId="0" xfId="0" applyFont="1" applyAlignment="1">
      <alignment horizontal="left"/>
    </xf>
    <xf numFmtId="179" fontId="6" fillId="2" borderId="10" xfId="67" applyNumberFormat="1" applyFont="1" applyFill="1" applyBorder="1" applyAlignment="1">
      <alignment horizontal="center" vertical="center"/>
    </xf>
    <xf numFmtId="0" fontId="6" fillId="2" borderId="8" xfId="0" applyNumberFormat="1" applyFont="1" applyFill="1" applyBorder="1"/>
    <xf numFmtId="15" fontId="6" fillId="35" borderId="8" xfId="0" applyNumberFormat="1" applyFont="1" applyFill="1" applyBorder="1" applyAlignment="1">
      <alignment horizontal="center"/>
    </xf>
    <xf numFmtId="0" fontId="10" fillId="35" borderId="8" xfId="0" applyFont="1" applyFill="1" applyBorder="1" applyAlignment="1">
      <alignment horizontal="left"/>
    </xf>
    <xf numFmtId="0" fontId="6" fillId="35" borderId="8" xfId="0" applyNumberFormat="1" applyFont="1" applyFill="1" applyBorder="1"/>
    <xf numFmtId="0" fontId="6" fillId="2" borderId="10" xfId="67" applyNumberFormat="1" applyFont="1" applyFill="1" applyBorder="1" applyAlignment="1">
      <alignment horizontal="center"/>
    </xf>
    <xf numFmtId="3" fontId="6" fillId="2" borderId="2" xfId="67" applyNumberFormat="1" applyFont="1" applyFill="1" applyBorder="1" applyAlignment="1">
      <alignment horizontal="center"/>
    </xf>
    <xf numFmtId="3" fontId="6" fillId="2" borderId="10" xfId="67" applyNumberFormat="1" applyFont="1" applyFill="1" applyBorder="1" applyAlignment="1">
      <alignment horizontal="center"/>
    </xf>
    <xf numFmtId="0" fontId="6" fillId="2" borderId="8" xfId="0" applyNumberFormat="1" applyFont="1" applyFill="1" applyBorder="1" applyAlignment="1">
      <alignment horizontal="left"/>
    </xf>
    <xf numFmtId="0" fontId="14" fillId="35" borderId="8" xfId="0" applyFont="1" applyFill="1" applyBorder="1" applyAlignment="1">
      <alignment horizontal="left"/>
    </xf>
    <xf numFmtId="3" fontId="6" fillId="0" borderId="14" xfId="0" applyNumberFormat="1" applyFont="1" applyBorder="1"/>
    <xf numFmtId="15" fontId="6" fillId="35" borderId="0" xfId="0" applyNumberFormat="1" applyFont="1" applyFill="1" applyBorder="1" applyAlignment="1">
      <alignment horizontal="center"/>
    </xf>
    <xf numFmtId="0" fontId="6" fillId="35" borderId="0" xfId="0" applyFont="1" applyFill="1" applyBorder="1" applyAlignment="1">
      <alignment horizontal="center"/>
    </xf>
    <xf numFmtId="0" fontId="0" fillId="0" borderId="3" xfId="0" applyBorder="1" applyAlignment="1">
      <alignment horizontal="center"/>
    </xf>
    <xf numFmtId="0" fontId="5" fillId="2" borderId="2" xfId="0" applyFont="1" applyFill="1" applyBorder="1" applyAlignment="1">
      <alignment horizontal="center"/>
    </xf>
    <xf numFmtId="3" fontId="8" fillId="2" borderId="0" xfId="0" applyNumberFormat="1" applyFont="1" applyFill="1" applyBorder="1" applyProtection="1">
      <protection locked="0"/>
    </xf>
    <xf numFmtId="4" fontId="32" fillId="0" borderId="13" xfId="115" applyNumberFormat="1" applyFont="1" applyBorder="1"/>
    <xf numFmtId="0" fontId="5" fillId="3" borderId="0" xfId="72" applyFont="1" applyFill="1" applyBorder="1" applyAlignment="1">
      <alignment vertical="center" wrapText="1"/>
    </xf>
    <xf numFmtId="0" fontId="5" fillId="3" borderId="0" xfId="72" applyFont="1" applyFill="1" applyBorder="1" applyAlignment="1">
      <alignment horizontal="center" vertical="center" wrapText="1"/>
    </xf>
    <xf numFmtId="0" fontId="5" fillId="3" borderId="0" xfId="72" applyFont="1" applyFill="1" applyBorder="1" applyAlignment="1">
      <alignment horizontal="center" vertical="justify"/>
    </xf>
    <xf numFmtId="0" fontId="5" fillId="3" borderId="0" xfId="72" applyFont="1" applyFill="1" applyBorder="1" applyAlignment="1">
      <alignment vertical="center"/>
    </xf>
    <xf numFmtId="0" fontId="6" fillId="0" borderId="0" xfId="0" applyNumberFormat="1" applyFont="1"/>
    <xf numFmtId="0" fontId="6" fillId="2" borderId="8" xfId="0" applyFont="1" applyFill="1" applyBorder="1" applyAlignment="1"/>
    <xf numFmtId="4" fontId="6" fillId="2" borderId="8" xfId="0" applyNumberFormat="1" applyFont="1" applyFill="1" applyBorder="1" applyProtection="1">
      <protection locked="0"/>
    </xf>
    <xf numFmtId="0" fontId="33" fillId="0" borderId="0" xfId="0" applyFont="1"/>
    <xf numFmtId="0" fontId="6" fillId="35" borderId="2" xfId="0" applyFont="1" applyFill="1" applyBorder="1" applyAlignment="1">
      <alignment horizontal="center"/>
    </xf>
    <xf numFmtId="4" fontId="5" fillId="2" borderId="10" xfId="0" applyNumberFormat="1" applyFont="1" applyFill="1" applyBorder="1" applyAlignment="1">
      <alignment horizontal="center" vertical="center"/>
    </xf>
    <xf numFmtId="0" fontId="10" fillId="0" borderId="0" xfId="0" applyFont="1"/>
    <xf numFmtId="17" fontId="4" fillId="2" borderId="0" xfId="0" quotePrefix="1" applyNumberFormat="1" applyFont="1" applyFill="1" applyAlignment="1">
      <alignment horizontal="right" vertical="center"/>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justify"/>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horizontal="center" vertical="center"/>
    </xf>
    <xf numFmtId="14" fontId="10" fillId="2" borderId="3" xfId="0" applyNumberFormat="1" applyFont="1" applyFill="1" applyBorder="1"/>
    <xf numFmtId="0" fontId="10" fillId="2" borderId="8" xfId="0" applyFont="1" applyFill="1" applyBorder="1"/>
    <xf numFmtId="0" fontId="10" fillId="2" borderId="5" xfId="0" applyFont="1" applyFill="1" applyBorder="1"/>
    <xf numFmtId="0" fontId="10" fillId="2" borderId="3" xfId="0" applyFont="1" applyFill="1" applyBorder="1" applyAlignment="1">
      <alignment horizontal="center"/>
    </xf>
    <xf numFmtId="0" fontId="10" fillId="2" borderId="7" xfId="0" applyFont="1" applyFill="1" applyBorder="1"/>
    <xf numFmtId="0" fontId="10" fillId="2" borderId="9" xfId="0" applyFont="1" applyFill="1" applyBorder="1"/>
    <xf numFmtId="4" fontId="10" fillId="2" borderId="9" xfId="0" applyNumberFormat="1" applyFont="1" applyFill="1" applyBorder="1" applyProtection="1">
      <protection locked="0"/>
    </xf>
    <xf numFmtId="4" fontId="10" fillId="2" borderId="5" xfId="0" applyNumberFormat="1" applyFont="1" applyFill="1" applyBorder="1" applyProtection="1">
      <protection locked="0"/>
    </xf>
    <xf numFmtId="3" fontId="10" fillId="2" borderId="3" xfId="0" applyNumberFormat="1" applyFont="1" applyFill="1" applyBorder="1" applyProtection="1">
      <protection locked="0"/>
    </xf>
    <xf numFmtId="0" fontId="10" fillId="2" borderId="11" xfId="0" applyFont="1" applyFill="1" applyBorder="1"/>
    <xf numFmtId="0" fontId="10" fillId="2" borderId="10" xfId="0" applyFont="1" applyFill="1" applyBorder="1"/>
    <xf numFmtId="0" fontId="10" fillId="2" borderId="0" xfId="0" applyFont="1" applyFill="1" applyBorder="1"/>
    <xf numFmtId="4" fontId="10" fillId="2" borderId="0" xfId="0" applyNumberFormat="1" applyFont="1" applyFill="1" applyBorder="1" applyProtection="1">
      <protection locked="0"/>
    </xf>
    <xf numFmtId="4" fontId="10" fillId="2" borderId="10" xfId="0" applyNumberFormat="1" applyFont="1" applyFill="1" applyBorder="1" applyProtection="1">
      <protection locked="0"/>
    </xf>
    <xf numFmtId="3" fontId="10" fillId="2" borderId="10" xfId="0" applyNumberFormat="1" applyFont="1" applyFill="1" applyBorder="1" applyProtection="1">
      <protection locked="0"/>
    </xf>
    <xf numFmtId="0" fontId="10" fillId="2" borderId="12" xfId="0" applyFont="1" applyFill="1" applyBorder="1"/>
    <xf numFmtId="0" fontId="10" fillId="2" borderId="13" xfId="0" applyFont="1" applyFill="1" applyBorder="1"/>
    <xf numFmtId="3" fontId="4" fillId="2" borderId="15" xfId="0" applyNumberFormat="1" applyFont="1" applyFill="1" applyBorder="1" applyProtection="1">
      <protection locked="0"/>
    </xf>
    <xf numFmtId="4" fontId="10" fillId="2" borderId="11" xfId="0" applyNumberFormat="1" applyFont="1" applyFill="1" applyBorder="1" applyProtection="1">
      <protection locked="0"/>
    </xf>
    <xf numFmtId="4" fontId="10" fillId="2" borderId="6" xfId="0" applyNumberFormat="1" applyFont="1" applyFill="1" applyBorder="1" applyProtection="1">
      <protection locked="0"/>
    </xf>
    <xf numFmtId="0" fontId="4" fillId="3" borderId="0" xfId="0" applyFont="1" applyFill="1" applyBorder="1" applyAlignment="1">
      <alignment vertical="center"/>
    </xf>
    <xf numFmtId="15" fontId="10" fillId="2" borderId="2" xfId="0" applyNumberFormat="1" applyFont="1" applyFill="1" applyBorder="1" applyAlignment="1">
      <alignment horizontal="center"/>
    </xf>
    <xf numFmtId="0" fontId="10" fillId="2" borderId="7" xfId="0" applyFont="1" applyFill="1" applyBorder="1" applyAlignment="1">
      <alignment horizontal="left"/>
    </xf>
    <xf numFmtId="0" fontId="10" fillId="2" borderId="2" xfId="0" applyFont="1" applyFill="1" applyBorder="1" applyAlignment="1">
      <alignment horizontal="center"/>
    </xf>
    <xf numFmtId="0" fontId="10" fillId="2" borderId="7" xfId="0" applyNumberFormat="1" applyFont="1" applyFill="1" applyBorder="1"/>
    <xf numFmtId="3" fontId="10" fillId="2" borderId="5" xfId="0" applyNumberFormat="1" applyFont="1" applyFill="1" applyBorder="1" applyProtection="1">
      <protection locked="0"/>
    </xf>
    <xf numFmtId="0" fontId="34" fillId="35" borderId="5" xfId="131" applyFont="1" applyFill="1" applyBorder="1"/>
    <xf numFmtId="15" fontId="10" fillId="2" borderId="3" xfId="0" applyNumberFormat="1" applyFont="1" applyFill="1" applyBorder="1" applyAlignment="1">
      <alignment horizontal="center"/>
    </xf>
    <xf numFmtId="0" fontId="10" fillId="2" borderId="8" xfId="0" applyNumberFormat="1" applyFont="1" applyFill="1" applyBorder="1"/>
    <xf numFmtId="0" fontId="34" fillId="35" borderId="10" xfId="131" applyFont="1" applyFill="1" applyBorder="1"/>
    <xf numFmtId="0" fontId="10" fillId="2" borderId="11" xfId="0" applyFont="1" applyFill="1" applyBorder="1" applyAlignment="1">
      <alignment horizontal="left"/>
    </xf>
    <xf numFmtId="0" fontId="10" fillId="2" borderId="6" xfId="0" applyFont="1" applyFill="1" applyBorder="1"/>
    <xf numFmtId="0" fontId="10" fillId="2" borderId="4" xfId="0" applyFont="1" applyFill="1" applyBorder="1"/>
    <xf numFmtId="0" fontId="10" fillId="35" borderId="9" xfId="0" applyFont="1" applyFill="1" applyBorder="1"/>
    <xf numFmtId="0" fontId="10" fillId="2" borderId="7" xfId="0" applyFont="1" applyFill="1" applyBorder="1" applyAlignment="1">
      <alignment horizontal="center"/>
    </xf>
    <xf numFmtId="4" fontId="10" fillId="2" borderId="7" xfId="0" applyNumberFormat="1" applyFont="1" applyFill="1" applyBorder="1"/>
    <xf numFmtId="0" fontId="34" fillId="35" borderId="9" xfId="85" applyFont="1" applyFill="1" applyBorder="1"/>
    <xf numFmtId="15" fontId="34" fillId="35" borderId="9" xfId="85" applyNumberFormat="1" applyFont="1" applyFill="1" applyBorder="1"/>
    <xf numFmtId="0" fontId="34" fillId="35" borderId="7" xfId="85" applyFont="1" applyFill="1" applyBorder="1"/>
    <xf numFmtId="0" fontId="34" fillId="35" borderId="5" xfId="85" applyFont="1" applyFill="1" applyBorder="1"/>
    <xf numFmtId="178" fontId="10" fillId="2" borderId="7" xfId="67" applyFont="1" applyFill="1" applyBorder="1"/>
    <xf numFmtId="0" fontId="4" fillId="3" borderId="0" xfId="72" applyFont="1" applyFill="1" applyBorder="1" applyAlignment="1">
      <alignment vertical="center" wrapText="1"/>
    </xf>
    <xf numFmtId="0" fontId="4" fillId="3" borderId="0" xfId="72" applyFont="1" applyFill="1" applyBorder="1" applyAlignment="1">
      <alignment vertical="center"/>
    </xf>
    <xf numFmtId="0" fontId="4" fillId="3" borderId="0" xfId="72" applyFont="1" applyFill="1" applyBorder="1" applyAlignment="1">
      <alignment horizontal="center" vertical="center" wrapText="1"/>
    </xf>
    <xf numFmtId="0" fontId="4" fillId="3" borderId="0" xfId="72" applyFont="1" applyFill="1" applyBorder="1" applyAlignment="1">
      <alignment horizontal="center" vertical="justify"/>
    </xf>
    <xf numFmtId="0" fontId="4" fillId="3" borderId="0" xfId="72" quotePrefix="1" applyFont="1" applyFill="1" applyBorder="1" applyAlignment="1">
      <alignment horizontal="right" vertical="center"/>
    </xf>
    <xf numFmtId="15" fontId="10" fillId="2" borderId="7" xfId="0" applyNumberFormat="1" applyFont="1" applyFill="1" applyBorder="1" applyAlignment="1">
      <alignment horizontal="center"/>
    </xf>
    <xf numFmtId="0" fontId="10" fillId="2" borderId="7" xfId="0" applyFont="1" applyFill="1" applyBorder="1" applyAlignment="1">
      <alignment horizontal="left" vertical="center"/>
    </xf>
    <xf numFmtId="3" fontId="10" fillId="2" borderId="5" xfId="0" applyNumberFormat="1" applyFont="1" applyFill="1" applyBorder="1" applyAlignment="1" applyProtection="1">
      <protection locked="0"/>
    </xf>
    <xf numFmtId="0" fontId="10" fillId="2" borderId="15" xfId="0" applyFont="1" applyFill="1" applyBorder="1"/>
    <xf numFmtId="0" fontId="10" fillId="2" borderId="1" xfId="0" applyFont="1" applyFill="1" applyBorder="1"/>
    <xf numFmtId="3" fontId="4" fillId="3" borderId="0" xfId="0" applyNumberFormat="1" applyFont="1" applyFill="1" applyBorder="1" applyAlignment="1">
      <alignment horizontal="center" vertical="justify"/>
    </xf>
    <xf numFmtId="15" fontId="10" fillId="2" borderId="7"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4" fillId="2" borderId="9" xfId="0" applyFont="1" applyFill="1" applyBorder="1" applyAlignment="1">
      <alignment horizontal="center"/>
    </xf>
    <xf numFmtId="0" fontId="4" fillId="2" borderId="5" xfId="0" applyFont="1" applyFill="1" applyBorder="1" applyAlignment="1">
      <alignment horizontal="center"/>
    </xf>
    <xf numFmtId="15" fontId="10" fillId="2" borderId="8" xfId="0" applyNumberFormat="1" applyFont="1" applyFill="1" applyBorder="1" applyAlignment="1">
      <alignment horizontal="center" vertical="center"/>
    </xf>
    <xf numFmtId="0" fontId="10" fillId="2" borderId="8" xfId="0" applyFont="1" applyFill="1" applyBorder="1" applyAlignment="1">
      <alignment horizontal="left" vertical="center"/>
    </xf>
    <xf numFmtId="0" fontId="4"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4" fillId="2" borderId="0" xfId="0" applyFont="1" applyFill="1" applyBorder="1" applyAlignment="1">
      <alignment horizontal="center"/>
    </xf>
    <xf numFmtId="0" fontId="4" fillId="2" borderId="10" xfId="0" applyFont="1" applyFill="1" applyBorder="1" applyAlignment="1">
      <alignment horizontal="center"/>
    </xf>
    <xf numFmtId="3" fontId="10" fillId="2" borderId="10" xfId="0" applyNumberFormat="1" applyFont="1" applyFill="1" applyBorder="1" applyAlignment="1" applyProtection="1">
      <protection locked="0"/>
    </xf>
    <xf numFmtId="15" fontId="10" fillId="2" borderId="8" xfId="0" applyNumberFormat="1" applyFont="1" applyFill="1" applyBorder="1" applyAlignment="1">
      <alignment horizontal="center"/>
    </xf>
    <xf numFmtId="0" fontId="10" fillId="35" borderId="0" xfId="0" applyFont="1" applyFill="1"/>
    <xf numFmtId="0" fontId="10" fillId="2" borderId="8" xfId="0" applyFont="1" applyFill="1" applyBorder="1" applyAlignment="1">
      <alignment horizontal="center"/>
    </xf>
    <xf numFmtId="4" fontId="10" fillId="2" borderId="8" xfId="0" applyNumberFormat="1" applyFont="1" applyFill="1" applyBorder="1" applyProtection="1">
      <protection locked="0"/>
    </xf>
    <xf numFmtId="0" fontId="34" fillId="35" borderId="6" xfId="131" applyFont="1" applyFill="1" applyBorder="1"/>
    <xf numFmtId="0" fontId="1" fillId="0" borderId="7" xfId="0" applyFont="1" applyBorder="1"/>
    <xf numFmtId="3" fontId="34" fillId="35" borderId="9" xfId="146" applyNumberFormat="1" applyFont="1" applyFill="1" applyBorder="1"/>
    <xf numFmtId="3" fontId="34" fillId="35" borderId="0" xfId="146" applyNumberFormat="1" applyFont="1" applyFill="1"/>
    <xf numFmtId="0" fontId="10" fillId="35" borderId="10" xfId="0" applyFont="1" applyFill="1" applyBorder="1" applyAlignment="1">
      <alignment horizontal="center"/>
    </xf>
    <xf numFmtId="3" fontId="10" fillId="2" borderId="2" xfId="0" applyNumberFormat="1" applyFont="1" applyFill="1" applyBorder="1" applyProtection="1">
      <protection locked="0"/>
    </xf>
    <xf numFmtId="15" fontId="10" fillId="35" borderId="2" xfId="0" applyNumberFormat="1" applyFont="1" applyFill="1" applyBorder="1"/>
    <xf numFmtId="0" fontId="10" fillId="35" borderId="7" xfId="0" applyFont="1" applyFill="1" applyBorder="1"/>
    <xf numFmtId="15" fontId="10" fillId="35" borderId="5" xfId="0" applyNumberFormat="1" applyFont="1" applyFill="1" applyBorder="1"/>
    <xf numFmtId="0" fontId="10" fillId="35" borderId="2" xfId="0" applyFont="1" applyFill="1" applyBorder="1" applyAlignment="1">
      <alignment horizontal="center"/>
    </xf>
    <xf numFmtId="0" fontId="10" fillId="35" borderId="5" xfId="0" applyFont="1" applyFill="1" applyBorder="1"/>
    <xf numFmtId="4" fontId="10" fillId="35" borderId="2" xfId="0" applyNumberFormat="1" applyFont="1" applyFill="1" applyBorder="1"/>
    <xf numFmtId="4" fontId="4" fillId="2" borderId="5" xfId="0" applyNumberFormat="1" applyFont="1" applyFill="1" applyBorder="1" applyAlignment="1">
      <alignment horizontal="center" vertical="center"/>
    </xf>
    <xf numFmtId="15" fontId="10" fillId="35" borderId="3" xfId="0" applyNumberFormat="1" applyFont="1" applyFill="1" applyBorder="1"/>
    <xf numFmtId="0" fontId="10" fillId="35" borderId="8" xfId="0" applyFont="1" applyFill="1" applyBorder="1"/>
    <xf numFmtId="15" fontId="10" fillId="35" borderId="10" xfId="0" applyNumberFormat="1" applyFont="1" applyFill="1" applyBorder="1"/>
    <xf numFmtId="0" fontId="10" fillId="35" borderId="3" xfId="0" applyFont="1" applyFill="1" applyBorder="1" applyAlignment="1">
      <alignment horizontal="center"/>
    </xf>
    <xf numFmtId="0" fontId="10" fillId="35" borderId="0" xfId="0" applyFont="1" applyFill="1" applyBorder="1"/>
    <xf numFmtId="0" fontId="10" fillId="35" borderId="10" xfId="0" applyFont="1" applyFill="1" applyBorder="1"/>
    <xf numFmtId="4" fontId="10" fillId="35" borderId="3" xfId="0" applyNumberFormat="1" applyFont="1" applyFill="1" applyBorder="1"/>
    <xf numFmtId="3" fontId="4" fillId="2" borderId="10" xfId="0" applyNumberFormat="1" applyFont="1" applyFill="1" applyBorder="1" applyAlignment="1">
      <alignment horizontal="center" vertical="center"/>
    </xf>
    <xf numFmtId="0" fontId="4" fillId="2" borderId="10" xfId="0" applyFont="1" applyFill="1" applyBorder="1" applyAlignment="1">
      <alignment horizontal="center" vertical="center"/>
    </xf>
    <xf numFmtId="15" fontId="10" fillId="35" borderId="2" xfId="0" applyNumberFormat="1" applyFont="1" applyFill="1" applyBorder="1" applyAlignment="1">
      <alignment horizontal="center"/>
    </xf>
    <xf numFmtId="4" fontId="10" fillId="2" borderId="5" xfId="67" applyNumberFormat="1" applyFont="1" applyFill="1" applyBorder="1" applyAlignment="1"/>
    <xf numFmtId="15" fontId="10" fillId="35" borderId="3" xfId="0" applyNumberFormat="1" applyFont="1" applyFill="1" applyBorder="1" applyAlignment="1">
      <alignment horizontal="center"/>
    </xf>
    <xf numFmtId="0" fontId="34" fillId="35" borderId="10" xfId="0" applyFont="1" applyFill="1" applyBorder="1"/>
    <xf numFmtId="0" fontId="34" fillId="35" borderId="0" xfId="0" applyFont="1" applyFill="1" applyAlignment="1">
      <alignment horizontal="center" vertical="center"/>
    </xf>
    <xf numFmtId="0" fontId="34" fillId="35" borderId="8" xfId="0" applyFont="1" applyFill="1" applyBorder="1" applyAlignment="1">
      <alignment horizontal="left" vertical="center"/>
    </xf>
    <xf numFmtId="0" fontId="34" fillId="35" borderId="0" xfId="0" applyFont="1" applyFill="1" applyBorder="1" applyAlignment="1">
      <alignment horizontal="left" vertical="center"/>
    </xf>
    <xf numFmtId="0" fontId="34" fillId="35" borderId="10" xfId="0" applyFont="1" applyFill="1" applyBorder="1" applyAlignment="1">
      <alignment horizontal="left" vertical="center"/>
    </xf>
    <xf numFmtId="3" fontId="10" fillId="2" borderId="10" xfId="0" applyNumberFormat="1" applyFont="1" applyFill="1" applyBorder="1" applyAlignment="1" applyProtection="1">
      <alignment horizontal="right" vertical="center"/>
      <protection locked="0"/>
    </xf>
    <xf numFmtId="0" fontId="10" fillId="35" borderId="9" xfId="0" applyFont="1" applyFill="1" applyBorder="1" applyAlignment="1">
      <alignment horizontal="left"/>
    </xf>
    <xf numFmtId="0" fontId="10" fillId="2" borderId="5" xfId="0" applyFont="1" applyFill="1" applyBorder="1" applyAlignment="1">
      <alignment horizontal="left"/>
    </xf>
    <xf numFmtId="179" fontId="10" fillId="2" borderId="5" xfId="67" applyNumberFormat="1" applyFont="1" applyFill="1" applyBorder="1" applyAlignment="1">
      <alignment vertical="center"/>
    </xf>
    <xf numFmtId="14" fontId="10" fillId="2" borderId="3" xfId="0" applyNumberFormat="1" applyFont="1" applyFill="1" applyBorder="1" applyAlignment="1">
      <alignment horizontal="center" vertical="center"/>
    </xf>
    <xf numFmtId="0" fontId="10" fillId="2" borderId="10" xfId="0" applyFont="1" applyFill="1" applyBorder="1" applyAlignment="1">
      <alignment horizontal="center" vertical="center"/>
    </xf>
    <xf numFmtId="0" fontId="10" fillId="2" borderId="0" xfId="0" applyFont="1" applyFill="1" applyBorder="1" applyAlignment="1">
      <alignment horizontal="center"/>
    </xf>
    <xf numFmtId="179" fontId="10" fillId="2" borderId="10" xfId="67" applyNumberFormat="1" applyFont="1" applyFill="1" applyBorder="1" applyAlignment="1">
      <alignment vertical="center"/>
    </xf>
    <xf numFmtId="0" fontId="10" fillId="2" borderId="5" xfId="0" applyFont="1" applyFill="1" applyBorder="1" applyAlignment="1">
      <alignment horizontal="center" vertical="center"/>
    </xf>
    <xf numFmtId="0" fontId="10" fillId="2" borderId="9" xfId="0" applyFont="1" applyFill="1" applyBorder="1" applyAlignment="1">
      <alignment horizontal="center"/>
    </xf>
    <xf numFmtId="179" fontId="10" fillId="2" borderId="5" xfId="67" applyNumberFormat="1" applyFont="1" applyFill="1" applyBorder="1" applyAlignment="1">
      <alignment horizontal="center" vertical="center"/>
    </xf>
    <xf numFmtId="0" fontId="34" fillId="0" borderId="0" xfId="0" applyFont="1" applyAlignment="1">
      <alignment horizontal="center" vertical="center"/>
    </xf>
    <xf numFmtId="3" fontId="10" fillId="2" borderId="10" xfId="0" applyNumberFormat="1" applyFont="1" applyFill="1" applyBorder="1" applyAlignment="1" applyProtection="1">
      <alignment horizontal="center"/>
      <protection locked="0"/>
    </xf>
    <xf numFmtId="3" fontId="10" fillId="2" borderId="8" xfId="0" applyNumberFormat="1" applyFont="1" applyFill="1" applyBorder="1"/>
    <xf numFmtId="0" fontId="34" fillId="35" borderId="8" xfId="0" applyNumberFormat="1" applyFont="1" applyFill="1" applyBorder="1" applyAlignment="1">
      <alignment horizontal="left" vertical="center"/>
    </xf>
    <xf numFmtId="3" fontId="10" fillId="35" borderId="5" xfId="0" applyNumberFormat="1" applyFont="1" applyFill="1" applyBorder="1" applyProtection="1">
      <protection locked="0"/>
    </xf>
    <xf numFmtId="4" fontId="10" fillId="35" borderId="0" xfId="0" applyNumberFormat="1" applyFont="1" applyFill="1" applyBorder="1" applyProtection="1">
      <protection locked="0"/>
    </xf>
    <xf numFmtId="4" fontId="10" fillId="35" borderId="10" xfId="0" applyNumberFormat="1" applyFont="1" applyFill="1" applyBorder="1" applyProtection="1">
      <protection locked="0"/>
    </xf>
    <xf numFmtId="3" fontId="10" fillId="35" borderId="10" xfId="0" applyNumberFormat="1" applyFont="1" applyFill="1" applyBorder="1" applyProtection="1">
      <protection locked="0"/>
    </xf>
    <xf numFmtId="0" fontId="10" fillId="2" borderId="2" xfId="0" applyFont="1" applyFill="1" applyBorder="1" applyAlignment="1">
      <alignment horizontal="left"/>
    </xf>
    <xf numFmtId="0" fontId="10" fillId="2" borderId="5" xfId="0" applyFont="1" applyFill="1" applyBorder="1" applyAlignment="1">
      <alignment horizontal="center"/>
    </xf>
    <xf numFmtId="0" fontId="10" fillId="0" borderId="7" xfId="0" applyFont="1" applyBorder="1"/>
    <xf numFmtId="3" fontId="10" fillId="2" borderId="2" xfId="0" applyNumberFormat="1" applyFont="1" applyFill="1" applyBorder="1"/>
    <xf numFmtId="4" fontId="10" fillId="2" borderId="5" xfId="0" applyNumberFormat="1" applyFont="1" applyFill="1" applyBorder="1"/>
    <xf numFmtId="0" fontId="4" fillId="3" borderId="13" xfId="0" applyFont="1" applyFill="1" applyBorder="1" applyAlignment="1">
      <alignment vertical="center" wrapText="1"/>
    </xf>
    <xf numFmtId="0" fontId="4" fillId="3" borderId="13" xfId="0" applyFont="1" applyFill="1" applyBorder="1" applyAlignment="1">
      <alignment vertical="center"/>
    </xf>
    <xf numFmtId="0" fontId="4" fillId="3" borderId="13" xfId="0" applyFont="1" applyFill="1" applyBorder="1" applyAlignment="1">
      <alignment horizontal="center" vertical="center" wrapText="1"/>
    </xf>
    <xf numFmtId="0" fontId="4" fillId="2" borderId="0" xfId="0" applyFont="1" applyFill="1" applyBorder="1" applyAlignment="1">
      <alignment horizontal="right"/>
    </xf>
    <xf numFmtId="3" fontId="4" fillId="2" borderId="0" xfId="0" applyNumberFormat="1" applyFont="1" applyFill="1" applyBorder="1" applyProtection="1">
      <protection locked="0"/>
    </xf>
    <xf numFmtId="3" fontId="10" fillId="0" borderId="0" xfId="0" applyNumberFormat="1" applyFont="1"/>
    <xf numFmtId="3" fontId="9" fillId="0" borderId="16" xfId="0" applyNumberFormat="1" applyFont="1" applyBorder="1"/>
    <xf numFmtId="3" fontId="4" fillId="2" borderId="1" xfId="0" applyNumberFormat="1" applyFont="1" applyFill="1" applyBorder="1" applyProtection="1">
      <protection locked="0"/>
    </xf>
    <xf numFmtId="0" fontId="10" fillId="35" borderId="2" xfId="0" applyFont="1" applyFill="1" applyBorder="1" applyAlignment="1">
      <alignment horizontal="left"/>
    </xf>
    <xf numFmtId="0" fontId="10" fillId="0" borderId="0" xfId="0" applyNumberFormat="1" applyFont="1"/>
    <xf numFmtId="0" fontId="10" fillId="35" borderId="2" xfId="0" applyFont="1" applyFill="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0" fillId="35" borderId="5" xfId="0" applyFont="1" applyFill="1" applyBorder="1" applyAlignment="1">
      <alignment horizontal="center"/>
    </xf>
    <xf numFmtId="0" fontId="10" fillId="35" borderId="7" xfId="0" applyFont="1" applyFill="1" applyBorder="1" applyAlignment="1">
      <alignment horizontal="left"/>
    </xf>
    <xf numFmtId="4" fontId="4" fillId="2" borderId="1" xfId="0" applyNumberFormat="1" applyFont="1" applyFill="1" applyBorder="1" applyProtection="1">
      <protection locked="0"/>
    </xf>
    <xf numFmtId="0" fontId="10" fillId="2" borderId="2" xfId="0" applyFont="1" applyFill="1" applyBorder="1"/>
    <xf numFmtId="4" fontId="10" fillId="2" borderId="2" xfId="0" applyNumberFormat="1" applyFont="1" applyFill="1" applyBorder="1" applyProtection="1">
      <protection locked="0"/>
    </xf>
    <xf numFmtId="4" fontId="10" fillId="2" borderId="3" xfId="0" applyNumberFormat="1" applyFont="1" applyFill="1" applyBorder="1" applyProtection="1">
      <protection locked="0"/>
    </xf>
    <xf numFmtId="0" fontId="10" fillId="35" borderId="0" xfId="0" applyFont="1" applyFill="1" applyBorder="1" applyAlignment="1">
      <alignment horizontal="left"/>
    </xf>
    <xf numFmtId="3" fontId="10" fillId="35" borderId="3" xfId="0" applyNumberFormat="1" applyFont="1" applyFill="1" applyBorder="1" applyProtection="1">
      <protection locked="0"/>
    </xf>
    <xf numFmtId="0" fontId="1" fillId="0" borderId="0" xfId="0" applyFont="1" applyAlignment="1">
      <alignment horizontal="center"/>
    </xf>
    <xf numFmtId="0" fontId="1" fillId="0" borderId="3" xfId="0" applyFont="1" applyBorder="1" applyAlignment="1">
      <alignment horizontal="center"/>
    </xf>
    <xf numFmtId="0" fontId="10" fillId="35" borderId="0" xfId="0" applyFont="1" applyFill="1" applyBorder="1" applyAlignment="1">
      <alignment horizontal="center"/>
    </xf>
    <xf numFmtId="0" fontId="10" fillId="35" borderId="8" xfId="0" applyFont="1" applyFill="1" applyBorder="1" applyAlignment="1">
      <alignment horizontal="center"/>
    </xf>
    <xf numFmtId="3" fontId="10" fillId="35" borderId="8" xfId="0" applyNumberFormat="1" applyFont="1" applyFill="1" applyBorder="1" applyProtection="1">
      <protection locked="0"/>
    </xf>
    <xf numFmtId="15" fontId="10" fillId="35" borderId="14" xfId="0" applyNumberFormat="1" applyFont="1" applyFill="1" applyBorder="1" applyAlignment="1">
      <alignment horizontal="center"/>
    </xf>
    <xf numFmtId="4" fontId="15" fillId="2" borderId="5" xfId="0" applyNumberFormat="1" applyFont="1" applyFill="1" applyBorder="1" applyProtection="1">
      <protection locked="0"/>
    </xf>
    <xf numFmtId="0" fontId="10" fillId="2" borderId="3" xfId="0" applyFont="1" applyFill="1" applyBorder="1" applyAlignment="1">
      <alignment horizontal="center" vertical="center"/>
    </xf>
    <xf numFmtId="4" fontId="15" fillId="2" borderId="10" xfId="0" applyNumberFormat="1" applyFont="1" applyFill="1" applyBorder="1" applyProtection="1">
      <protection locked="0"/>
    </xf>
    <xf numFmtId="179" fontId="10" fillId="2" borderId="5" xfId="67" applyNumberFormat="1" applyFont="1" applyFill="1" applyBorder="1" applyAlignment="1">
      <alignment horizontal="right" vertical="center"/>
    </xf>
    <xf numFmtId="15" fontId="10" fillId="2" borderId="1" xfId="0" applyNumberFormat="1" applyFont="1" applyFill="1" applyBorder="1" applyAlignment="1">
      <alignment horizontal="center"/>
    </xf>
    <xf numFmtId="0" fontId="10" fillId="2" borderId="1" xfId="0" applyFont="1" applyFill="1" applyBorder="1" applyAlignment="1">
      <alignment horizontal="left"/>
    </xf>
    <xf numFmtId="0" fontId="10" fillId="2" borderId="1" xfId="0" applyFont="1" applyFill="1" applyBorder="1" applyAlignment="1">
      <alignment horizontal="center"/>
    </xf>
    <xf numFmtId="0" fontId="10" fillId="2" borderId="15" xfId="0" applyFont="1" applyFill="1" applyBorder="1" applyAlignment="1">
      <alignment horizontal="center"/>
    </xf>
    <xf numFmtId="0" fontId="10" fillId="2" borderId="12" xfId="0" applyFont="1" applyFill="1" applyBorder="1" applyAlignment="1">
      <alignment horizontal="left"/>
    </xf>
    <xf numFmtId="3" fontId="10" fillId="2" borderId="1" xfId="0" applyNumberFormat="1" applyFont="1" applyFill="1" applyBorder="1" applyProtection="1">
      <protection locked="0"/>
    </xf>
    <xf numFmtId="0" fontId="10" fillId="2" borderId="7" xfId="0" applyFont="1" applyFill="1" applyBorder="1" applyAlignment="1"/>
    <xf numFmtId="3" fontId="15" fillId="2" borderId="10" xfId="0" applyNumberFormat="1" applyFont="1" applyFill="1" applyBorder="1" applyProtection="1">
      <protection locked="0"/>
    </xf>
    <xf numFmtId="0" fontId="15" fillId="35" borderId="8" xfId="0" applyFont="1" applyFill="1" applyBorder="1"/>
    <xf numFmtId="0" fontId="15" fillId="35" borderId="7" xfId="0" applyFont="1" applyFill="1" applyBorder="1"/>
    <xf numFmtId="0" fontId="15" fillId="35" borderId="8" xfId="0" applyNumberFormat="1" applyFont="1" applyFill="1" applyBorder="1"/>
    <xf numFmtId="4" fontId="4" fillId="0" borderId="16" xfId="0" applyNumberFormat="1" applyFont="1" applyBorder="1"/>
    <xf numFmtId="3" fontId="6" fillId="2" borderId="10" xfId="67" applyNumberFormat="1" applyFont="1" applyFill="1" applyBorder="1" applyAlignment="1">
      <alignment horizontal="center" vertical="center"/>
    </xf>
    <xf numFmtId="0" fontId="4" fillId="2" borderId="11" xfId="0" applyFont="1" applyFill="1" applyBorder="1" applyAlignment="1">
      <alignment horizontal="center" vertical="center"/>
    </xf>
    <xf numFmtId="0" fontId="9" fillId="3" borderId="0" xfId="0" applyFont="1" applyFill="1" applyBorder="1" applyAlignment="1">
      <alignment horizontal="right" vertical="center"/>
    </xf>
    <xf numFmtId="0" fontId="4" fillId="3" borderId="0" xfId="0" applyFont="1" applyFill="1" applyBorder="1" applyAlignment="1">
      <alignment horizontal="right" vertical="center"/>
    </xf>
    <xf numFmtId="3" fontId="4" fillId="2" borderId="12" xfId="0" applyNumberFormat="1" applyFont="1" applyFill="1" applyBorder="1" applyProtection="1">
      <protection locked="0"/>
    </xf>
    <xf numFmtId="3" fontId="4" fillId="39" borderId="7" xfId="0" applyNumberFormat="1" applyFont="1" applyFill="1" applyBorder="1" applyProtection="1">
      <protection locked="0"/>
    </xf>
    <xf numFmtId="3" fontId="4" fillId="39" borderId="8" xfId="0" applyNumberFormat="1" applyFont="1" applyFill="1" applyBorder="1" applyProtection="1">
      <protection locked="0"/>
    </xf>
    <xf numFmtId="4" fontId="4" fillId="2" borderId="12" xfId="0" applyNumberFormat="1" applyFont="1" applyFill="1" applyBorder="1" applyProtection="1">
      <protection locked="0"/>
    </xf>
    <xf numFmtId="4" fontId="10" fillId="2" borderId="7" xfId="0" applyNumberFormat="1" applyFont="1" applyFill="1" applyBorder="1" applyProtection="1">
      <protection locked="0"/>
    </xf>
    <xf numFmtId="3" fontId="10" fillId="35" borderId="7" xfId="0" applyNumberFormat="1" applyFont="1" applyFill="1" applyBorder="1" applyProtection="1">
      <protection locked="0"/>
    </xf>
    <xf numFmtId="3" fontId="10" fillId="2" borderId="7" xfId="0" applyNumberFormat="1" applyFont="1" applyFill="1" applyBorder="1"/>
    <xf numFmtId="3" fontId="4" fillId="39" borderId="8" xfId="0" applyNumberFormat="1" applyFont="1" applyFill="1" applyBorder="1"/>
    <xf numFmtId="3" fontId="16" fillId="39" borderId="7" xfId="0" applyNumberFormat="1" applyFont="1" applyFill="1" applyBorder="1" applyProtection="1">
      <protection locked="0"/>
    </xf>
    <xf numFmtId="3" fontId="15" fillId="2" borderId="8" xfId="0" applyNumberFormat="1" applyFont="1" applyFill="1" applyBorder="1" applyProtection="1">
      <protection locked="0"/>
    </xf>
    <xf numFmtId="3" fontId="10" fillId="2" borderId="12" xfId="0" applyNumberFormat="1" applyFont="1" applyFill="1" applyBorder="1" applyProtection="1">
      <protection locked="0"/>
    </xf>
    <xf numFmtId="0" fontId="10" fillId="0" borderId="0" xfId="0" applyFont="1" applyBorder="1"/>
    <xf numFmtId="14" fontId="10" fillId="0" borderId="0" xfId="0" applyNumberFormat="1" applyFont="1" applyBorder="1"/>
    <xf numFmtId="0" fontId="32" fillId="35" borderId="8" xfId="144" applyFont="1" applyFill="1" applyBorder="1" applyAlignment="1">
      <alignment horizontal="left"/>
    </xf>
    <xf numFmtId="0" fontId="6" fillId="0" borderId="8" xfId="0" applyNumberFormat="1" applyFont="1" applyBorder="1"/>
    <xf numFmtId="0" fontId="6" fillId="2" borderId="0" xfId="0" applyFont="1" applyFill="1" applyBorder="1" applyAlignment="1">
      <alignment horizontal="center" vertical="center"/>
    </xf>
    <xf numFmtId="0" fontId="6" fillId="2" borderId="0" xfId="0" applyNumberFormat="1" applyFont="1" applyFill="1" applyBorder="1"/>
    <xf numFmtId="1" fontId="6" fillId="35" borderId="8" xfId="0" applyNumberFormat="1" applyFont="1" applyFill="1" applyBorder="1" applyProtection="1">
      <protection locked="0"/>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5" xfId="0" applyFont="1" applyFill="1" applyBorder="1" applyAlignment="1">
      <alignment horizontal="center"/>
    </xf>
    <xf numFmtId="0" fontId="4" fillId="2" borderId="13" xfId="0" applyFont="1" applyFill="1" applyBorder="1" applyAlignment="1">
      <alignment horizontal="right"/>
    </xf>
    <xf numFmtId="0" fontId="4" fillId="2" borderId="15" xfId="0" applyFont="1" applyFill="1" applyBorder="1" applyAlignment="1">
      <alignment horizontal="right"/>
    </xf>
    <xf numFmtId="0" fontId="4" fillId="2" borderId="7" xfId="0" applyFont="1" applyFill="1" applyBorder="1" applyAlignment="1">
      <alignment horizontal="left" vertical="center"/>
    </xf>
    <xf numFmtId="0" fontId="4" fillId="2" borderId="11" xfId="0" applyFont="1" applyFill="1" applyBorder="1" applyAlignment="1">
      <alignment horizontal="left" vertical="center"/>
    </xf>
    <xf numFmtId="0" fontId="5" fillId="2" borderId="0" xfId="0" applyFont="1" applyFill="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2" borderId="0" xfId="0" applyFont="1" applyFill="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5" fillId="2" borderId="13" xfId="0" applyFont="1" applyFill="1" applyBorder="1" applyAlignment="1">
      <alignment horizontal="right"/>
    </xf>
    <xf numFmtId="0" fontId="5" fillId="2" borderId="15" xfId="0" applyFont="1" applyFill="1" applyBorder="1" applyAlignment="1">
      <alignment horizontal="right"/>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14" xfId="0" applyNumberFormat="1" applyFont="1" applyFill="1" applyBorder="1" applyAlignment="1">
      <alignment horizontal="center" vertical="center"/>
    </xf>
  </cellXfs>
  <cellStyles count="185">
    <cellStyle name="20% - Énfasis1" xfId="1" builtinId="30" customBuiltin="1"/>
    <cellStyle name="20% - Énfasis1 2" xfId="2"/>
    <cellStyle name="20% - Énfasis1 3" xfId="3"/>
    <cellStyle name="20% - Énfasis1 4" xfId="4"/>
    <cellStyle name="20% - Énfasis2" xfId="5" builtinId="34" customBuiltin="1"/>
    <cellStyle name="20% - Énfasis2 2" xfId="6"/>
    <cellStyle name="20% - Énfasis2 3" xfId="7"/>
    <cellStyle name="20% - Énfasis2 4" xfId="8"/>
    <cellStyle name="20% - Énfasis3" xfId="9" builtinId="38" customBuiltin="1"/>
    <cellStyle name="20% - Énfasis3 2" xfId="10"/>
    <cellStyle name="20% - Énfasis3 3" xfId="11"/>
    <cellStyle name="20% - Énfasis3 4" xfId="12"/>
    <cellStyle name="20% - Énfasis4" xfId="13" builtinId="42" customBuiltin="1"/>
    <cellStyle name="20% - Énfasis4 2" xfId="14"/>
    <cellStyle name="20% - Énfasis4 3" xfId="15"/>
    <cellStyle name="20% - Énfasis4 4" xfId="16"/>
    <cellStyle name="20% - Énfasis5" xfId="17" builtinId="46" customBuiltin="1"/>
    <cellStyle name="20% - Énfasis5 2" xfId="18"/>
    <cellStyle name="20% - Énfasis5 3" xfId="19"/>
    <cellStyle name="20% - Énfasis5 4" xfId="20"/>
    <cellStyle name="20% - Énfasis6" xfId="21" builtinId="50" customBuiltin="1"/>
    <cellStyle name="20% - Énfasis6 2" xfId="22"/>
    <cellStyle name="20% - Énfasis6 3" xfId="23"/>
    <cellStyle name="20% - Énfasis6 4" xfId="24"/>
    <cellStyle name="40% - Énfasis1" xfId="25" builtinId="31" customBuiltin="1"/>
    <cellStyle name="40% - Énfasis1 2" xfId="26"/>
    <cellStyle name="40% - Énfasis1 3" xfId="27"/>
    <cellStyle name="40% - Énfasis1 4" xfId="28"/>
    <cellStyle name="40% - Énfasis2" xfId="29" builtinId="35" customBuiltin="1"/>
    <cellStyle name="40% - Énfasis2 2" xfId="30"/>
    <cellStyle name="40% - Énfasis2 3" xfId="31"/>
    <cellStyle name="40% - Énfasis2 4" xfId="32"/>
    <cellStyle name="40% - Énfasis3" xfId="33" builtinId="39" customBuiltin="1"/>
    <cellStyle name="40% - Énfasis3 2" xfId="34"/>
    <cellStyle name="40% - Énfasis3 3" xfId="35"/>
    <cellStyle name="40% - Énfasis3 4" xfId="36"/>
    <cellStyle name="40% - Énfasis4" xfId="37" builtinId="43" customBuiltin="1"/>
    <cellStyle name="40% - Énfasis4 2" xfId="38"/>
    <cellStyle name="40% - Énfasis4 3" xfId="39"/>
    <cellStyle name="40% - Énfasis4 4" xfId="40"/>
    <cellStyle name="40% - Énfasis5" xfId="41" builtinId="47" customBuiltin="1"/>
    <cellStyle name="40% - Énfasis5 2" xfId="42"/>
    <cellStyle name="40% - Énfasis5 3" xfId="43"/>
    <cellStyle name="40% - Énfasis5 4" xfId="44"/>
    <cellStyle name="40% - Énfasis6" xfId="45" builtinId="51" customBuiltin="1"/>
    <cellStyle name="40% - Énfasis6 2" xfId="46"/>
    <cellStyle name="40% - Énfasis6 3" xfId="47"/>
    <cellStyle name="40% - Énfasis6 4" xfId="48"/>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xfId="55" builtinId="22" customBuiltin="1"/>
    <cellStyle name="Celda de comprobación" xfId="56" builtinId="23" customBuiltin="1"/>
    <cellStyle name="Celda vinculada" xfId="57" builtinId="24" customBuiltin="1"/>
    <cellStyle name="Encabezado 4" xfId="58" builtinId="19" customBuiltin="1"/>
    <cellStyle name="Énfasis1" xfId="59" builtinId="29" customBuiltin="1"/>
    <cellStyle name="Énfasis2" xfId="60" builtinId="33" customBuiltin="1"/>
    <cellStyle name="Énfasis3" xfId="61" builtinId="37" customBuiltin="1"/>
    <cellStyle name="Énfasis4" xfId="62" builtinId="41" customBuiltin="1"/>
    <cellStyle name="Énfasis5" xfId="63" builtinId="45" customBuiltin="1"/>
    <cellStyle name="Énfasis6" xfId="64" builtinId="49" customBuiltin="1"/>
    <cellStyle name="Entrada" xfId="65" builtinId="20" customBuiltin="1"/>
    <cellStyle name="Incorrecto" xfId="66" builtinId="27" customBuiltin="1"/>
    <cellStyle name="Millares" xfId="67" builtinId="3"/>
    <cellStyle name="Millares 2" xfId="68"/>
    <cellStyle name="Neutral" xfId="69" builtinId="28" customBuiltin="1"/>
    <cellStyle name="Normal" xfId="0" builtinId="0"/>
    <cellStyle name="Normal 10" xfId="70"/>
    <cellStyle name="Normal 10 2" xfId="71"/>
    <cellStyle name="Normal 11" xfId="72"/>
    <cellStyle name="Normal 12" xfId="73"/>
    <cellStyle name="Normal 12 2" xfId="74"/>
    <cellStyle name="Normal 13" xfId="75"/>
    <cellStyle name="Normal 13 2" xfId="76"/>
    <cellStyle name="Normal 13 2 2" xfId="77"/>
    <cellStyle name="Normal 13 3" xfId="78"/>
    <cellStyle name="Normal 14" xfId="79"/>
    <cellStyle name="Normal 14 2" xfId="80"/>
    <cellStyle name="Normal 15" xfId="81"/>
    <cellStyle name="Normal 15 2" xfId="82"/>
    <cellStyle name="Normal 16" xfId="83"/>
    <cellStyle name="Normal 16 2" xfId="84"/>
    <cellStyle name="Normal 17" xfId="85"/>
    <cellStyle name="Normal 17 2" xfId="86"/>
    <cellStyle name="Normal 18" xfId="87"/>
    <cellStyle name="Normal 18 2" xfId="88"/>
    <cellStyle name="Normal 19" xfId="89"/>
    <cellStyle name="Normal 19 2" xfId="90"/>
    <cellStyle name="Normal 2" xfId="91"/>
    <cellStyle name="Normal 2 2" xfId="92"/>
    <cellStyle name="Normal 2 2 2" xfId="93"/>
    <cellStyle name="Normal 2 3" xfId="94"/>
    <cellStyle name="Normal 20" xfId="95"/>
    <cellStyle name="Normal 20 2" xfId="96"/>
    <cellStyle name="Normal 21" xfId="97"/>
    <cellStyle name="Normal 21 2" xfId="98"/>
    <cellStyle name="Normal 22" xfId="99"/>
    <cellStyle name="Normal 22 2" xfId="100"/>
    <cellStyle name="Normal 23" xfId="101"/>
    <cellStyle name="Normal 23 2" xfId="102"/>
    <cellStyle name="Normal 24" xfId="103"/>
    <cellStyle name="Normal 24 2" xfId="104"/>
    <cellStyle name="Normal 25" xfId="105"/>
    <cellStyle name="Normal 25 2" xfId="106"/>
    <cellStyle name="Normal 26" xfId="107"/>
    <cellStyle name="Normal 26 2" xfId="108"/>
    <cellStyle name="Normal 27" xfId="109"/>
    <cellStyle name="Normal 27 2" xfId="110"/>
    <cellStyle name="Normal 28" xfId="111"/>
    <cellStyle name="Normal 28 2" xfId="112"/>
    <cellStyle name="Normal 29" xfId="113"/>
    <cellStyle name="Normal 29 2" xfId="114"/>
    <cellStyle name="Normal 3" xfId="115"/>
    <cellStyle name="Normal 3 2" xfId="116"/>
    <cellStyle name="Normal 3 2 2" xfId="117"/>
    <cellStyle name="Normal 3 3" xfId="118"/>
    <cellStyle name="Normal 30" xfId="119"/>
    <cellStyle name="Normal 30 2" xfId="120"/>
    <cellStyle name="Normal 31" xfId="121"/>
    <cellStyle name="Normal 31 2" xfId="122"/>
    <cellStyle name="Normal 32" xfId="123"/>
    <cellStyle name="Normal 32 2" xfId="124"/>
    <cellStyle name="Normal 33" xfId="125"/>
    <cellStyle name="Normal 33 2" xfId="126"/>
    <cellStyle name="Normal 34" xfId="127"/>
    <cellStyle name="Normal 34 2" xfId="128"/>
    <cellStyle name="Normal 35" xfId="129"/>
    <cellStyle name="Normal 35 2" xfId="130"/>
    <cellStyle name="Normal 36" xfId="131"/>
    <cellStyle name="Normal 36 2" xfId="132"/>
    <cellStyle name="Normal 37" xfId="133"/>
    <cellStyle name="Normal 37 2" xfId="134"/>
    <cellStyle name="Normal 38" xfId="135"/>
    <cellStyle name="Normal 38 2" xfId="136"/>
    <cellStyle name="Normal 39" xfId="137"/>
    <cellStyle name="Normal 4" xfId="138"/>
    <cellStyle name="Normal 4 2" xfId="139"/>
    <cellStyle name="Normal 4 2 2" xfId="140"/>
    <cellStyle name="Normal 4 3" xfId="141"/>
    <cellStyle name="Normal 40" xfId="142"/>
    <cellStyle name="Normal 41" xfId="143"/>
    <cellStyle name="Normal 42" xfId="144"/>
    <cellStyle name="Normal 43" xfId="145"/>
    <cellStyle name="Normal 44" xfId="146"/>
    <cellStyle name="Normal 45" xfId="147"/>
    <cellStyle name="Normal 46" xfId="148"/>
    <cellStyle name="Normal 47" xfId="149"/>
    <cellStyle name="Normal 48" xfId="150"/>
    <cellStyle name="Normal 49" xfId="151"/>
    <cellStyle name="Normal 5" xfId="152"/>
    <cellStyle name="Normal 5 2" xfId="153"/>
    <cellStyle name="Normal 5 2 2" xfId="154"/>
    <cellStyle name="Normal 5 3" xfId="155"/>
    <cellStyle name="Normal 6" xfId="156"/>
    <cellStyle name="Normal 6 2" xfId="157"/>
    <cellStyle name="Normal 6 2 2" xfId="158"/>
    <cellStyle name="Normal 6 3" xfId="159"/>
    <cellStyle name="Normal 7" xfId="160"/>
    <cellStyle name="Normal 7 2" xfId="161"/>
    <cellStyle name="Normal 7 2 2" xfId="162"/>
    <cellStyle name="Normal 7 3" xfId="163"/>
    <cellStyle name="Normal 8" xfId="164"/>
    <cellStyle name="Normal 8 2" xfId="165"/>
    <cellStyle name="Normal 8 2 2" xfId="166"/>
    <cellStyle name="Normal 8 3" xfId="167"/>
    <cellStyle name="Normal 9" xfId="168"/>
    <cellStyle name="Normal 9 2" xfId="169"/>
    <cellStyle name="Normal 9 2 2" xfId="170"/>
    <cellStyle name="Normal 9 3" xfId="171"/>
    <cellStyle name="Notas 2" xfId="172"/>
    <cellStyle name="Notas 3" xfId="173"/>
    <cellStyle name="Notas 4" xfId="174"/>
    <cellStyle name="Notas 5" xfId="175"/>
    <cellStyle name="Porcentaje" xfId="176" builtinId="5"/>
    <cellStyle name="Porcentual 2" xfId="177"/>
    <cellStyle name="Salida" xfId="178" builtinId="21" customBuiltin="1"/>
    <cellStyle name="Texto de advertencia" xfId="179" builtinId="11" customBuiltin="1"/>
    <cellStyle name="Texto explicativo" xfId="180" builtinId="53" customBuiltin="1"/>
    <cellStyle name="Título" xfId="181" builtinId="15" customBuiltin="1"/>
    <cellStyle name="Título 2" xfId="182" builtinId="17" customBuiltin="1"/>
    <cellStyle name="Título 3" xfId="183" builtinId="18" customBuiltin="1"/>
    <cellStyle name="Total" xfId="184"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ct 1" hidden="1">
              <a:extLst>
                <a:ext uri="{63B3BB69-23CF-44E3-9099-C40C66FF867C}">
                  <a14:compatExt spid="_x0000_s13721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9.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abSelected="1" zoomScaleNormal="100" workbookViewId="0">
      <selection activeCell="Q51" sqref="Q51"/>
    </sheetView>
  </sheetViews>
  <sheetFormatPr baseColWidth="10" defaultRowHeight="12.75" x14ac:dyDescent="0.2"/>
  <cols>
    <col min="1" max="2" width="15.7109375" style="311" customWidth="1"/>
    <col min="3" max="3" width="14.7109375" style="311" customWidth="1"/>
    <col min="4" max="9" width="15.7109375" style="311" customWidth="1"/>
    <col min="10" max="10" width="13" style="311" customWidth="1"/>
    <col min="11" max="11" width="6.5703125" style="311" customWidth="1"/>
    <col min="12" max="16384" width="11.42578125" style="311"/>
  </cols>
  <sheetData>
    <row r="1" spans="1:11" ht="12.75" customHeight="1" x14ac:dyDescent="0.25">
      <c r="A1" s="521" t="s">
        <v>835</v>
      </c>
      <c r="B1" s="521"/>
      <c r="C1" s="521"/>
      <c r="D1" s="521"/>
      <c r="E1" s="521"/>
      <c r="F1" s="521"/>
      <c r="G1" s="521"/>
      <c r="H1" s="521"/>
      <c r="I1" s="521"/>
      <c r="J1" s="521"/>
      <c r="K1" s="521"/>
    </row>
    <row r="2" spans="1:11" ht="12.75" customHeight="1" x14ac:dyDescent="0.2">
      <c r="A2" s="192"/>
      <c r="B2" s="192"/>
      <c r="C2" s="192"/>
      <c r="D2" s="192"/>
      <c r="E2" s="192"/>
      <c r="F2" s="192"/>
      <c r="G2" s="192"/>
      <c r="H2" s="192"/>
      <c r="I2" s="192"/>
      <c r="J2" s="192"/>
      <c r="K2" s="312"/>
    </row>
    <row r="3" spans="1:11" ht="15" customHeight="1" x14ac:dyDescent="0.2">
      <c r="A3" s="313" t="s">
        <v>103</v>
      </c>
      <c r="B3" s="313" t="s">
        <v>45</v>
      </c>
      <c r="C3" s="313"/>
      <c r="D3" s="313"/>
      <c r="E3" s="314"/>
      <c r="F3" s="314"/>
      <c r="G3" s="314"/>
      <c r="H3" s="314"/>
      <c r="I3" s="314"/>
      <c r="J3" s="315"/>
      <c r="K3" s="315"/>
    </row>
    <row r="4" spans="1:11" x14ac:dyDescent="0.2">
      <c r="A4" s="508" t="s">
        <v>28</v>
      </c>
      <c r="B4" s="519" t="s">
        <v>131</v>
      </c>
      <c r="C4" s="317"/>
      <c r="D4" s="508" t="s">
        <v>71</v>
      </c>
      <c r="E4" s="514" t="s">
        <v>37</v>
      </c>
      <c r="F4" s="515"/>
      <c r="G4" s="515"/>
      <c r="H4" s="516"/>
      <c r="I4" s="508" t="s">
        <v>31</v>
      </c>
      <c r="J4" s="510" t="s">
        <v>41</v>
      </c>
      <c r="K4" s="511"/>
    </row>
    <row r="5" spans="1:11" x14ac:dyDescent="0.2">
      <c r="A5" s="509"/>
      <c r="B5" s="520"/>
      <c r="C5" s="320"/>
      <c r="D5" s="509"/>
      <c r="E5" s="514" t="s">
        <v>33</v>
      </c>
      <c r="F5" s="515"/>
      <c r="G5" s="515"/>
      <c r="H5" s="516"/>
      <c r="I5" s="509"/>
      <c r="J5" s="512"/>
      <c r="K5" s="513"/>
    </row>
    <row r="6" spans="1:11" ht="12.75" customHeight="1" x14ac:dyDescent="0.2">
      <c r="A6" s="321">
        <v>42898</v>
      </c>
      <c r="B6" s="322" t="s">
        <v>537</v>
      </c>
      <c r="C6" s="323"/>
      <c r="D6" s="324">
        <v>693</v>
      </c>
      <c r="E6" s="325" t="s">
        <v>538</v>
      </c>
      <c r="F6" s="326"/>
      <c r="G6" s="327"/>
      <c r="H6" s="328"/>
      <c r="I6" s="329">
        <f>36450686-15441302</f>
        <v>21009384</v>
      </c>
      <c r="J6" s="325" t="s">
        <v>196</v>
      </c>
      <c r="K6" s="323"/>
    </row>
    <row r="7" spans="1:11" ht="12.75" customHeight="1" x14ac:dyDescent="0.2">
      <c r="A7" s="321">
        <v>42909</v>
      </c>
      <c r="B7" s="330" t="s">
        <v>537</v>
      </c>
      <c r="C7" s="331"/>
      <c r="D7" s="324">
        <v>711</v>
      </c>
      <c r="E7" s="322" t="s">
        <v>570</v>
      </c>
      <c r="F7" s="332"/>
      <c r="G7" s="333"/>
      <c r="H7" s="334"/>
      <c r="I7" s="335">
        <f>10573173-6525000</f>
        <v>4048173</v>
      </c>
      <c r="J7" s="322"/>
      <c r="K7" s="331"/>
    </row>
    <row r="8" spans="1:11" x14ac:dyDescent="0.2">
      <c r="A8" s="336"/>
      <c r="B8" s="337"/>
      <c r="C8" s="337"/>
      <c r="D8" s="337"/>
      <c r="E8" s="337"/>
      <c r="F8" s="337"/>
      <c r="G8" s="517" t="s">
        <v>132</v>
      </c>
      <c r="H8" s="518"/>
      <c r="I8" s="338">
        <f>SUM(I6:I7)</f>
        <v>25057557</v>
      </c>
      <c r="J8" s="339"/>
      <c r="K8" s="340"/>
    </row>
    <row r="9" spans="1:11" ht="15" customHeight="1" x14ac:dyDescent="0.2">
      <c r="A9" s="313" t="s">
        <v>102</v>
      </c>
      <c r="B9" s="341" t="s">
        <v>46</v>
      </c>
      <c r="C9" s="313"/>
      <c r="D9" s="313"/>
      <c r="E9" s="314"/>
      <c r="F9" s="314"/>
      <c r="G9" s="314"/>
      <c r="H9" s="314"/>
      <c r="I9" s="314"/>
      <c r="J9" s="315"/>
      <c r="K9" s="194"/>
    </row>
    <row r="10" spans="1:11" x14ac:dyDescent="0.2">
      <c r="A10" s="342">
        <v>42913</v>
      </c>
      <c r="B10" s="343" t="s">
        <v>305</v>
      </c>
      <c r="C10" s="326"/>
      <c r="D10" s="344">
        <v>712</v>
      </c>
      <c r="E10" s="345" t="s">
        <v>571</v>
      </c>
      <c r="F10" s="326"/>
      <c r="G10" s="327"/>
      <c r="H10" s="328"/>
      <c r="I10" s="346">
        <f>330939000-330935430</f>
        <v>3570</v>
      </c>
      <c r="J10" s="325" t="s">
        <v>196</v>
      </c>
      <c r="K10" s="347"/>
    </row>
    <row r="11" spans="1:11" x14ac:dyDescent="0.2">
      <c r="A11" s="348">
        <v>42913</v>
      </c>
      <c r="B11" s="287" t="s">
        <v>305</v>
      </c>
      <c r="C11" s="332"/>
      <c r="D11" s="324">
        <v>713</v>
      </c>
      <c r="E11" s="349" t="s">
        <v>572</v>
      </c>
      <c r="F11" s="332"/>
      <c r="G11" s="333"/>
      <c r="H11" s="334"/>
      <c r="I11" s="335">
        <f>11568704-7140000</f>
        <v>4428704</v>
      </c>
      <c r="J11" s="322" t="s">
        <v>196</v>
      </c>
      <c r="K11" s="350"/>
    </row>
    <row r="12" spans="1:11" x14ac:dyDescent="0.2">
      <c r="A12" s="348">
        <v>42914</v>
      </c>
      <c r="B12" s="287" t="s">
        <v>305</v>
      </c>
      <c r="C12" s="332"/>
      <c r="D12" s="324">
        <v>714</v>
      </c>
      <c r="E12" s="349" t="s">
        <v>573</v>
      </c>
      <c r="F12" s="332"/>
      <c r="G12" s="333"/>
      <c r="H12" s="334"/>
      <c r="I12" s="335">
        <f>326299144-316111550</f>
        <v>10187594</v>
      </c>
      <c r="J12" s="322" t="s">
        <v>196</v>
      </c>
      <c r="K12" s="350"/>
    </row>
    <row r="13" spans="1:11" x14ac:dyDescent="0.2">
      <c r="A13" s="348">
        <v>42921</v>
      </c>
      <c r="B13" s="287" t="s">
        <v>305</v>
      </c>
      <c r="C13" s="332"/>
      <c r="D13" s="324">
        <v>729</v>
      </c>
      <c r="E13" s="349" t="s">
        <v>637</v>
      </c>
      <c r="F13" s="332"/>
      <c r="G13" s="333"/>
      <c r="H13" s="334"/>
      <c r="I13" s="335">
        <f>70310565-70310165</f>
        <v>400</v>
      </c>
      <c r="J13" s="322" t="s">
        <v>196</v>
      </c>
      <c r="K13" s="350"/>
    </row>
    <row r="14" spans="1:11" x14ac:dyDescent="0.2">
      <c r="A14" s="348">
        <v>42921</v>
      </c>
      <c r="B14" s="287" t="s">
        <v>305</v>
      </c>
      <c r="C14" s="332"/>
      <c r="D14" s="324">
        <v>730</v>
      </c>
      <c r="E14" s="349" t="s">
        <v>638</v>
      </c>
      <c r="F14" s="332"/>
      <c r="G14" s="333"/>
      <c r="H14" s="334"/>
      <c r="I14" s="335">
        <f>29474508-22068600</f>
        <v>7405908</v>
      </c>
      <c r="J14" s="322"/>
      <c r="K14" s="350"/>
    </row>
    <row r="15" spans="1:11" x14ac:dyDescent="0.2">
      <c r="A15" s="348">
        <v>42926</v>
      </c>
      <c r="B15" s="287" t="s">
        <v>305</v>
      </c>
      <c r="C15" s="332"/>
      <c r="D15" s="324">
        <v>740</v>
      </c>
      <c r="E15" s="349" t="s">
        <v>639</v>
      </c>
      <c r="F15" s="332"/>
      <c r="G15" s="333"/>
      <c r="H15" s="334"/>
      <c r="I15" s="335">
        <f>34560119-18555075-8793174</f>
        <v>7211870</v>
      </c>
      <c r="J15" s="322" t="s">
        <v>196</v>
      </c>
      <c r="K15" s="350"/>
    </row>
    <row r="16" spans="1:11" x14ac:dyDescent="0.2">
      <c r="A16" s="348">
        <v>42934</v>
      </c>
      <c r="B16" s="287" t="s">
        <v>305</v>
      </c>
      <c r="C16" s="349"/>
      <c r="D16" s="324">
        <v>753</v>
      </c>
      <c r="E16" s="349" t="s">
        <v>640</v>
      </c>
      <c r="F16" s="332"/>
      <c r="G16" s="333"/>
      <c r="H16" s="334"/>
      <c r="I16" s="335">
        <f>39581933-39581876</f>
        <v>57</v>
      </c>
      <c r="J16" s="322" t="s">
        <v>196</v>
      </c>
      <c r="K16" s="350"/>
    </row>
    <row r="17" spans="1:11" x14ac:dyDescent="0.2">
      <c r="A17" s="348" t="s">
        <v>706</v>
      </c>
      <c r="B17" s="287" t="s">
        <v>305</v>
      </c>
      <c r="C17" s="332"/>
      <c r="D17" s="324">
        <v>778</v>
      </c>
      <c r="E17" s="349" t="s">
        <v>707</v>
      </c>
      <c r="F17" s="332"/>
      <c r="G17" s="333"/>
      <c r="H17" s="334"/>
      <c r="I17" s="335">
        <v>58409830</v>
      </c>
      <c r="J17" s="322"/>
      <c r="K17" s="350"/>
    </row>
    <row r="18" spans="1:11" x14ac:dyDescent="0.2">
      <c r="A18" s="348" t="s">
        <v>706</v>
      </c>
      <c r="B18" s="351" t="s">
        <v>165</v>
      </c>
      <c r="C18" s="352"/>
      <c r="D18" s="324">
        <v>779</v>
      </c>
      <c r="E18" s="349" t="s">
        <v>708</v>
      </c>
      <c r="F18" s="332"/>
      <c r="G18" s="333"/>
      <c r="H18" s="334"/>
      <c r="I18" s="335">
        <v>206266764</v>
      </c>
      <c r="J18" s="322"/>
      <c r="K18" s="350"/>
    </row>
    <row r="19" spans="1:11" x14ac:dyDescent="0.2">
      <c r="A19" s="336"/>
      <c r="B19" s="353"/>
      <c r="C19" s="353"/>
      <c r="D19" s="337"/>
      <c r="E19" s="337"/>
      <c r="F19" s="337"/>
      <c r="G19" s="517" t="s">
        <v>132</v>
      </c>
      <c r="H19" s="518"/>
      <c r="I19" s="338">
        <f>SUM(I10:I18)</f>
        <v>293914697</v>
      </c>
      <c r="J19" s="339"/>
      <c r="K19" s="340"/>
    </row>
    <row r="20" spans="1:11" ht="15" customHeight="1" x14ac:dyDescent="0.2">
      <c r="A20" s="313" t="s">
        <v>106</v>
      </c>
      <c r="B20" s="341" t="s">
        <v>126</v>
      </c>
      <c r="C20" s="313"/>
      <c r="D20" s="313"/>
      <c r="E20" s="314"/>
      <c r="F20" s="314"/>
      <c r="G20" s="314"/>
      <c r="H20" s="314"/>
      <c r="I20" s="314"/>
      <c r="J20" s="315"/>
      <c r="K20" s="194"/>
    </row>
    <row r="21" spans="1:11" x14ac:dyDescent="0.2">
      <c r="A21" s="342">
        <v>42783</v>
      </c>
      <c r="B21" s="325" t="s">
        <v>165</v>
      </c>
      <c r="C21" s="354"/>
      <c r="D21" s="355">
        <v>276</v>
      </c>
      <c r="E21" s="325" t="s">
        <v>193</v>
      </c>
      <c r="F21" s="326"/>
      <c r="G21" s="327"/>
      <c r="H21" s="328"/>
      <c r="I21" s="346">
        <f>2200000-170000-238000-5000-79900</f>
        <v>1707100</v>
      </c>
      <c r="J21" s="356"/>
      <c r="K21" s="323"/>
    </row>
    <row r="22" spans="1:11" x14ac:dyDescent="0.2">
      <c r="A22" s="336"/>
      <c r="B22" s="337"/>
      <c r="C22" s="337"/>
      <c r="D22" s="337"/>
      <c r="E22" s="337"/>
      <c r="F22" s="337"/>
      <c r="G22" s="517" t="s">
        <v>132</v>
      </c>
      <c r="H22" s="518"/>
      <c r="I22" s="338">
        <f>SUM(I21:I21)</f>
        <v>1707100</v>
      </c>
      <c r="J22" s="339"/>
      <c r="K22" s="340"/>
    </row>
    <row r="23" spans="1:11" ht="15" customHeight="1" x14ac:dyDescent="0.2">
      <c r="A23" s="313" t="s">
        <v>134</v>
      </c>
      <c r="B23" s="341" t="s">
        <v>135</v>
      </c>
      <c r="C23" s="313"/>
      <c r="D23" s="313"/>
      <c r="E23" s="314"/>
      <c r="F23" s="314"/>
      <c r="G23" s="314"/>
      <c r="H23" s="314"/>
      <c r="I23" s="314"/>
      <c r="J23" s="315"/>
      <c r="K23" s="194"/>
    </row>
    <row r="24" spans="1:11" x14ac:dyDescent="0.2">
      <c r="A24" s="342">
        <v>42741</v>
      </c>
      <c r="B24" s="357" t="s">
        <v>165</v>
      </c>
      <c r="C24" s="358"/>
      <c r="D24" s="355">
        <v>20</v>
      </c>
      <c r="E24" s="359" t="s">
        <v>170</v>
      </c>
      <c r="F24" s="357"/>
      <c r="G24" s="357"/>
      <c r="H24" s="360"/>
      <c r="I24" s="346">
        <f>25429904-25429902</f>
        <v>2</v>
      </c>
      <c r="J24" s="361" t="s">
        <v>196</v>
      </c>
      <c r="K24" s="323"/>
    </row>
    <row r="25" spans="1:11" x14ac:dyDescent="0.2">
      <c r="A25" s="336"/>
      <c r="B25" s="337"/>
      <c r="C25" s="337"/>
      <c r="D25" s="337"/>
      <c r="E25" s="337"/>
      <c r="F25" s="337"/>
      <c r="G25" s="517" t="s">
        <v>132</v>
      </c>
      <c r="H25" s="518"/>
      <c r="I25" s="338">
        <f>SUM(I24:I24)</f>
        <v>2</v>
      </c>
      <c r="J25" s="339"/>
      <c r="K25" s="340"/>
    </row>
    <row r="26" spans="1:11" ht="15" customHeight="1" x14ac:dyDescent="0.2">
      <c r="A26" s="362" t="s">
        <v>614</v>
      </c>
      <c r="B26" s="363" t="s">
        <v>615</v>
      </c>
      <c r="C26" s="362"/>
      <c r="D26" s="362"/>
      <c r="E26" s="364"/>
      <c r="F26" s="364"/>
      <c r="G26" s="364"/>
      <c r="H26" s="364"/>
      <c r="I26" s="364"/>
      <c r="J26" s="365"/>
      <c r="K26" s="366"/>
    </row>
    <row r="27" spans="1:11" ht="15" customHeight="1" x14ac:dyDescent="0.2">
      <c r="A27" s="367">
        <v>42895</v>
      </c>
      <c r="B27" s="368" t="s">
        <v>303</v>
      </c>
      <c r="C27" s="354"/>
      <c r="D27" s="355">
        <v>681</v>
      </c>
      <c r="E27" s="343" t="s">
        <v>622</v>
      </c>
      <c r="F27" s="326"/>
      <c r="G27" s="327"/>
      <c r="H27" s="328"/>
      <c r="I27" s="369">
        <f>12000000-1173423-704054-110175-704054-330524-234685-270457-435310-387480-422600-402470</f>
        <v>6824768</v>
      </c>
      <c r="J27" s="361"/>
      <c r="K27" s="323"/>
    </row>
    <row r="28" spans="1:11" x14ac:dyDescent="0.2">
      <c r="A28" s="336"/>
      <c r="B28" s="336"/>
      <c r="C28" s="370"/>
      <c r="D28" s="371"/>
      <c r="E28" s="337"/>
      <c r="F28" s="337"/>
      <c r="G28" s="517" t="s">
        <v>132</v>
      </c>
      <c r="H28" s="518"/>
      <c r="I28" s="338">
        <f>SUM(I27:I27)</f>
        <v>6824768</v>
      </c>
      <c r="J28" s="339"/>
      <c r="K28" s="340"/>
    </row>
    <row r="29" spans="1:11" ht="15" customHeight="1" x14ac:dyDescent="0.2">
      <c r="A29" s="313" t="s">
        <v>105</v>
      </c>
      <c r="B29" s="341" t="s">
        <v>47</v>
      </c>
      <c r="C29" s="313"/>
      <c r="D29" s="313"/>
      <c r="E29" s="314"/>
      <c r="F29" s="314"/>
      <c r="G29" s="314"/>
      <c r="H29" s="314"/>
      <c r="I29" s="314"/>
      <c r="J29" s="372"/>
      <c r="K29" s="194"/>
    </row>
    <row r="30" spans="1:11" x14ac:dyDescent="0.2">
      <c r="A30" s="373">
        <v>42747</v>
      </c>
      <c r="B30" s="368" t="s">
        <v>159</v>
      </c>
      <c r="C30" s="374"/>
      <c r="D30" s="375">
        <v>38</v>
      </c>
      <c r="E30" s="343" t="s">
        <v>160</v>
      </c>
      <c r="F30" s="376"/>
      <c r="G30" s="376"/>
      <c r="H30" s="377"/>
      <c r="I30" s="369">
        <f>1622500-60600-62092-62092-155147-62092-102600-166600-102600-102600-102600</f>
        <v>643477</v>
      </c>
      <c r="J30" s="325" t="s">
        <v>196</v>
      </c>
      <c r="K30" s="347"/>
    </row>
    <row r="31" spans="1:11" x14ac:dyDescent="0.2">
      <c r="A31" s="378">
        <v>42747</v>
      </c>
      <c r="B31" s="379" t="s">
        <v>159</v>
      </c>
      <c r="C31" s="380"/>
      <c r="D31" s="381">
        <v>40</v>
      </c>
      <c r="E31" s="287" t="s">
        <v>161</v>
      </c>
      <c r="F31" s="382"/>
      <c r="G31" s="382"/>
      <c r="H31" s="383"/>
      <c r="I31" s="384">
        <f>61934000-18325395</f>
        <v>43608605</v>
      </c>
      <c r="J31" s="322" t="s">
        <v>196</v>
      </c>
      <c r="K31" s="350"/>
    </row>
    <row r="32" spans="1:11" ht="15" customHeight="1" x14ac:dyDescent="0.2">
      <c r="A32" s="385">
        <v>42752</v>
      </c>
      <c r="B32" s="379" t="s">
        <v>159</v>
      </c>
      <c r="C32" s="386"/>
      <c r="D32" s="387">
        <v>90</v>
      </c>
      <c r="E32" s="287" t="s">
        <v>162</v>
      </c>
      <c r="F32" s="332"/>
      <c r="G32" s="333"/>
      <c r="H32" s="334"/>
      <c r="I32" s="384">
        <f>9726875-503997-5359011</f>
        <v>3863867</v>
      </c>
      <c r="J32" s="322" t="s">
        <v>196</v>
      </c>
      <c r="K32" s="350"/>
    </row>
    <row r="33" spans="1:11" ht="15" customHeight="1" x14ac:dyDescent="0.2">
      <c r="A33" s="385">
        <v>42752</v>
      </c>
      <c r="B33" s="379" t="s">
        <v>159</v>
      </c>
      <c r="C33" s="386"/>
      <c r="D33" s="387">
        <v>276</v>
      </c>
      <c r="E33" s="388" t="s">
        <v>193</v>
      </c>
      <c r="F33" s="332"/>
      <c r="G33" s="333"/>
      <c r="H33" s="334"/>
      <c r="I33" s="384">
        <f>8400000-222200-121200-276000</f>
        <v>7780600</v>
      </c>
      <c r="J33" s="322" t="s">
        <v>196</v>
      </c>
      <c r="K33" s="350"/>
    </row>
    <row r="34" spans="1:11" ht="15" customHeight="1" x14ac:dyDescent="0.2">
      <c r="A34" s="385">
        <v>42961</v>
      </c>
      <c r="B34" s="379" t="s">
        <v>159</v>
      </c>
      <c r="C34" s="386"/>
      <c r="D34" s="387">
        <v>779</v>
      </c>
      <c r="E34" s="388" t="s">
        <v>715</v>
      </c>
      <c r="F34" s="332"/>
      <c r="G34" s="333"/>
      <c r="H34" s="334"/>
      <c r="I34" s="384">
        <v>100000000</v>
      </c>
      <c r="J34" s="322"/>
      <c r="K34" s="350"/>
    </row>
    <row r="35" spans="1:11" x14ac:dyDescent="0.2">
      <c r="A35" s="336"/>
      <c r="B35" s="336"/>
      <c r="C35" s="370"/>
      <c r="D35" s="371"/>
      <c r="E35" s="337"/>
      <c r="F35" s="337"/>
      <c r="G35" s="517" t="s">
        <v>132</v>
      </c>
      <c r="H35" s="518"/>
      <c r="I35" s="338">
        <f>SUM(I30:I34)</f>
        <v>155896549</v>
      </c>
      <c r="J35" s="330"/>
      <c r="K35" s="389"/>
    </row>
    <row r="36" spans="1:11" ht="15" customHeight="1" x14ac:dyDescent="0.2">
      <c r="A36" s="313" t="s">
        <v>107</v>
      </c>
      <c r="B36" s="341" t="s">
        <v>48</v>
      </c>
      <c r="C36" s="313"/>
      <c r="D36" s="313"/>
      <c r="E36" s="314"/>
      <c r="F36" s="314"/>
      <c r="G36" s="314"/>
      <c r="H36" s="314"/>
      <c r="I36" s="314"/>
      <c r="J36" s="315"/>
      <c r="K36" s="194"/>
    </row>
    <row r="37" spans="1:11" ht="15" customHeight="1" x14ac:dyDescent="0.2">
      <c r="A37" s="342">
        <v>42783</v>
      </c>
      <c r="B37" s="325" t="s">
        <v>195</v>
      </c>
      <c r="C37" s="354"/>
      <c r="D37" s="355">
        <v>276</v>
      </c>
      <c r="E37" s="390" t="s">
        <v>193</v>
      </c>
      <c r="F37" s="326"/>
      <c r="G37" s="327"/>
      <c r="H37" s="328"/>
      <c r="I37" s="346">
        <f>1800000-74500-106600-178000-186400</f>
        <v>1254500</v>
      </c>
      <c r="J37" s="325"/>
      <c r="K37" s="323"/>
    </row>
    <row r="38" spans="1:11" x14ac:dyDescent="0.2">
      <c r="A38" s="336"/>
      <c r="B38" s="337"/>
      <c r="C38" s="337"/>
      <c r="D38" s="337"/>
      <c r="E38" s="337"/>
      <c r="F38" s="337"/>
      <c r="G38" s="517" t="s">
        <v>132</v>
      </c>
      <c r="H38" s="518"/>
      <c r="I38" s="338">
        <f>SUM(I37:I37)</f>
        <v>1254500</v>
      </c>
      <c r="J38" s="339"/>
      <c r="K38" s="340"/>
    </row>
    <row r="39" spans="1:11" ht="15" customHeight="1" x14ac:dyDescent="0.2">
      <c r="A39" s="313" t="s">
        <v>108</v>
      </c>
      <c r="B39" s="341" t="s">
        <v>49</v>
      </c>
      <c r="C39" s="313"/>
      <c r="D39" s="313"/>
      <c r="E39" s="314"/>
      <c r="F39" s="314"/>
      <c r="G39" s="314"/>
      <c r="H39" s="314"/>
      <c r="I39" s="314"/>
      <c r="J39" s="315"/>
      <c r="K39" s="194"/>
    </row>
    <row r="40" spans="1:11" x14ac:dyDescent="0.2">
      <c r="A40" s="342">
        <v>42740</v>
      </c>
      <c r="B40" s="368" t="s">
        <v>165</v>
      </c>
      <c r="C40" s="374"/>
      <c r="D40" s="375">
        <v>6</v>
      </c>
      <c r="E40" s="343" t="s">
        <v>178</v>
      </c>
      <c r="F40" s="376"/>
      <c r="G40" s="376"/>
      <c r="H40" s="377"/>
      <c r="I40" s="391">
        <v>10617719</v>
      </c>
      <c r="J40" s="318"/>
      <c r="K40" s="317"/>
    </row>
    <row r="41" spans="1:11" x14ac:dyDescent="0.2">
      <c r="A41" s="348">
        <v>42783</v>
      </c>
      <c r="B41" s="379" t="s">
        <v>165</v>
      </c>
      <c r="C41" s="380"/>
      <c r="D41" s="381">
        <v>276</v>
      </c>
      <c r="E41" s="287" t="s">
        <v>193</v>
      </c>
      <c r="F41" s="382"/>
      <c r="G41" s="382"/>
      <c r="H41" s="383"/>
      <c r="I41" s="392">
        <v>1700000</v>
      </c>
      <c r="J41" s="287"/>
      <c r="K41" s="393"/>
    </row>
    <row r="42" spans="1:11" x14ac:dyDescent="0.2">
      <c r="A42" s="336"/>
      <c r="B42" s="337"/>
      <c r="C42" s="337"/>
      <c r="D42" s="337"/>
      <c r="E42" s="337"/>
      <c r="F42" s="337"/>
      <c r="G42" s="517" t="s">
        <v>132</v>
      </c>
      <c r="H42" s="518"/>
      <c r="I42" s="338">
        <f>SUM(I40:I41)</f>
        <v>12317719</v>
      </c>
      <c r="J42" s="339"/>
      <c r="K42" s="340"/>
    </row>
    <row r="43" spans="1:11" ht="15" customHeight="1" x14ac:dyDescent="0.2">
      <c r="A43" s="313" t="s">
        <v>109</v>
      </c>
      <c r="B43" s="341" t="s">
        <v>50</v>
      </c>
      <c r="C43" s="313"/>
      <c r="D43" s="313"/>
      <c r="E43" s="314"/>
      <c r="F43" s="314"/>
      <c r="G43" s="314"/>
      <c r="H43" s="314"/>
      <c r="I43" s="314"/>
      <c r="J43" s="314"/>
      <c r="K43" s="194"/>
    </row>
    <row r="44" spans="1:11" x14ac:dyDescent="0.2">
      <c r="A44" s="342">
        <v>42983</v>
      </c>
      <c r="B44" s="325" t="s">
        <v>165</v>
      </c>
      <c r="C44" s="326"/>
      <c r="D44" s="375">
        <v>800</v>
      </c>
      <c r="E44" s="325" t="s">
        <v>709</v>
      </c>
      <c r="F44" s="326"/>
      <c r="G44" s="327"/>
      <c r="H44" s="328"/>
      <c r="I44" s="394">
        <v>291508000</v>
      </c>
      <c r="J44" s="325"/>
      <c r="K44" s="317"/>
    </row>
    <row r="45" spans="1:11" x14ac:dyDescent="0.2">
      <c r="A45" s="336"/>
      <c r="B45" s="337"/>
      <c r="C45" s="337"/>
      <c r="D45" s="337"/>
      <c r="E45" s="337"/>
      <c r="F45" s="337"/>
      <c r="G45" s="517" t="s">
        <v>132</v>
      </c>
      <c r="H45" s="518"/>
      <c r="I45" s="338">
        <f>SUM(I44:I44)</f>
        <v>291508000</v>
      </c>
      <c r="J45" s="339"/>
      <c r="K45" s="340"/>
    </row>
    <row r="46" spans="1:11" ht="15" customHeight="1" x14ac:dyDescent="0.2">
      <c r="A46" s="313" t="s">
        <v>110</v>
      </c>
      <c r="B46" s="313" t="s">
        <v>0</v>
      </c>
      <c r="C46" s="313"/>
      <c r="D46" s="313"/>
      <c r="E46" s="314"/>
      <c r="F46" s="314"/>
      <c r="G46" s="314"/>
      <c r="H46" s="314"/>
      <c r="I46" s="314"/>
      <c r="J46" s="314"/>
      <c r="K46" s="194"/>
    </row>
    <row r="47" spans="1:11" ht="12.75" customHeight="1" x14ac:dyDescent="0.2">
      <c r="A47" s="395">
        <v>42747</v>
      </c>
      <c r="B47" s="396" t="s">
        <v>163</v>
      </c>
      <c r="C47" s="397"/>
      <c r="D47" s="398">
        <v>43</v>
      </c>
      <c r="E47" s="396" t="s">
        <v>164</v>
      </c>
      <c r="F47" s="354"/>
      <c r="G47" s="354"/>
      <c r="H47" s="399"/>
      <c r="I47" s="400">
        <f>609800000-132230-26771941-19420380-1048770-66990-283810-269350-142000-736910-561740-45400-295810-1131200-24135458-1367510-22558357-1411810-573850-167840-87760-1262250-311710-749120-26024673-719250-110540-50230-1065880-326220-24843256-623770-644950-96130-49210-1223870-360360-23268871-763680-54260-703700-1102950-589833-23956067-285790-398090-1163830-54270-162240-637010-1105870-308110-24734673-554910-1797270-53550-70870-243830549</f>
        <v>124533072</v>
      </c>
      <c r="J47" s="318"/>
      <c r="K47" s="401"/>
    </row>
    <row r="48" spans="1:11" ht="12.75" customHeight="1" x14ac:dyDescent="0.2">
      <c r="A48" s="402">
        <v>42983</v>
      </c>
      <c r="B48" s="403" t="s">
        <v>163</v>
      </c>
      <c r="C48" s="404"/>
      <c r="D48" s="405">
        <v>800</v>
      </c>
      <c r="E48" s="403" t="s">
        <v>709</v>
      </c>
      <c r="F48" s="406"/>
      <c r="G48" s="406"/>
      <c r="H48" s="407"/>
      <c r="I48" s="408">
        <v>242648700</v>
      </c>
      <c r="J48" s="380"/>
      <c r="K48" s="409"/>
    </row>
    <row r="49" spans="1:11" x14ac:dyDescent="0.2">
      <c r="A49" s="336"/>
      <c r="B49" s="337"/>
      <c r="C49" s="337"/>
      <c r="D49" s="337"/>
      <c r="E49" s="337"/>
      <c r="F49" s="337"/>
      <c r="G49" s="517" t="s">
        <v>132</v>
      </c>
      <c r="H49" s="518"/>
      <c r="I49" s="450">
        <f>SUM(I47:I48)</f>
        <v>367181772</v>
      </c>
      <c r="J49" s="380"/>
      <c r="K49" s="410"/>
    </row>
    <row r="50" spans="1:11" ht="15" customHeight="1" x14ac:dyDescent="0.2">
      <c r="A50" s="313" t="s">
        <v>111</v>
      </c>
      <c r="B50" s="341" t="s">
        <v>1</v>
      </c>
      <c r="C50" s="313"/>
      <c r="D50" s="313"/>
      <c r="E50" s="314"/>
      <c r="F50" s="314"/>
      <c r="G50" s="314"/>
      <c r="H50" s="314"/>
      <c r="I50" s="314"/>
      <c r="J50" s="314"/>
      <c r="K50" s="194"/>
    </row>
    <row r="51" spans="1:11" ht="12.75" customHeight="1" x14ac:dyDescent="0.2">
      <c r="A51" s="411">
        <v>42747</v>
      </c>
      <c r="B51" s="325" t="s">
        <v>165</v>
      </c>
      <c r="C51" s="323"/>
      <c r="D51" s="355">
        <v>41</v>
      </c>
      <c r="E51" s="325" t="s">
        <v>166</v>
      </c>
      <c r="F51" s="326"/>
      <c r="G51" s="327"/>
      <c r="H51" s="328"/>
      <c r="I51" s="412">
        <f>460400000-8688290-27220-17403-228937-866340-88517-306320-199710-52673-3231270-5460030-19128-154690-98170-286590-5465350-983750-13070990-4559050-149980-328980-55770-275370-21602-19128-144160-264930-1033060-124840-5730740-37880-4409890-168320-20365-19128-158650-6175180-4289120-148990-231120-66870-1037890-134500-283389756-313090-18560-2376060-20365</f>
        <v>105431278</v>
      </c>
      <c r="J51" s="325"/>
      <c r="K51" s="323"/>
    </row>
    <row r="52" spans="1:11" x14ac:dyDescent="0.2">
      <c r="A52" s="413">
        <v>42983</v>
      </c>
      <c r="B52" s="325" t="s">
        <v>165</v>
      </c>
      <c r="C52" s="414"/>
      <c r="D52" s="415">
        <v>800</v>
      </c>
      <c r="E52" s="416" t="s">
        <v>709</v>
      </c>
      <c r="F52" s="417"/>
      <c r="G52" s="417"/>
      <c r="H52" s="418"/>
      <c r="I52" s="419">
        <v>283389756</v>
      </c>
      <c r="J52" s="322"/>
      <c r="K52" s="331"/>
    </row>
    <row r="53" spans="1:11" x14ac:dyDescent="0.2">
      <c r="A53" s="336"/>
      <c r="B53" s="337"/>
      <c r="C53" s="337"/>
      <c r="D53" s="337"/>
      <c r="E53" s="337"/>
      <c r="F53" s="337"/>
      <c r="G53" s="517" t="s">
        <v>132</v>
      </c>
      <c r="H53" s="518"/>
      <c r="I53" s="338">
        <f>SUM(I51:I52)</f>
        <v>388821034</v>
      </c>
      <c r="J53" s="339"/>
      <c r="K53" s="340"/>
    </row>
    <row r="54" spans="1:11" x14ac:dyDescent="0.2">
      <c r="A54" s="332"/>
      <c r="B54" s="332"/>
      <c r="C54" s="332"/>
      <c r="D54" s="332"/>
      <c r="E54" s="332"/>
      <c r="F54" s="332"/>
      <c r="G54" s="446"/>
      <c r="H54" s="446"/>
      <c r="I54" s="447"/>
      <c r="J54" s="333"/>
      <c r="K54" s="333"/>
    </row>
    <row r="55" spans="1:11" x14ac:dyDescent="0.2">
      <c r="A55" s="332"/>
      <c r="B55" s="332"/>
      <c r="C55" s="332"/>
      <c r="D55" s="332"/>
      <c r="E55" s="332"/>
      <c r="F55" s="332"/>
      <c r="G55" s="446"/>
      <c r="H55" s="446"/>
      <c r="I55" s="447"/>
      <c r="J55" s="333"/>
      <c r="K55" s="333"/>
    </row>
    <row r="56" spans="1:11" ht="12.75" customHeight="1" x14ac:dyDescent="0.25">
      <c r="A56" s="521" t="s">
        <v>835</v>
      </c>
      <c r="B56" s="521"/>
      <c r="C56" s="521"/>
      <c r="D56" s="521"/>
      <c r="E56" s="521"/>
      <c r="F56" s="521"/>
      <c r="G56" s="521"/>
      <c r="H56" s="521"/>
      <c r="I56" s="521"/>
      <c r="J56" s="521"/>
      <c r="K56" s="521"/>
    </row>
    <row r="57" spans="1:11" ht="15" customHeight="1" x14ac:dyDescent="0.2">
      <c r="A57" s="313" t="s">
        <v>112</v>
      </c>
      <c r="B57" s="313" t="s">
        <v>2</v>
      </c>
      <c r="C57" s="313"/>
      <c r="D57" s="313"/>
      <c r="E57" s="314"/>
      <c r="F57" s="314"/>
      <c r="G57" s="314"/>
      <c r="H57" s="314"/>
      <c r="I57" s="314"/>
      <c r="J57" s="314"/>
      <c r="K57" s="194"/>
    </row>
    <row r="58" spans="1:11" x14ac:dyDescent="0.2">
      <c r="A58" s="508" t="s">
        <v>28</v>
      </c>
      <c r="B58" s="519" t="s">
        <v>131</v>
      </c>
      <c r="C58" s="317"/>
      <c r="D58" s="508" t="s">
        <v>71</v>
      </c>
      <c r="E58" s="514" t="s">
        <v>37</v>
      </c>
      <c r="F58" s="515"/>
      <c r="G58" s="515"/>
      <c r="H58" s="516"/>
      <c r="I58" s="508" t="s">
        <v>31</v>
      </c>
      <c r="J58" s="510" t="s">
        <v>41</v>
      </c>
      <c r="K58" s="511"/>
    </row>
    <row r="59" spans="1:11" x14ac:dyDescent="0.2">
      <c r="A59" s="509"/>
      <c r="B59" s="520"/>
      <c r="C59" s="320"/>
      <c r="D59" s="509"/>
      <c r="E59" s="514" t="s">
        <v>33</v>
      </c>
      <c r="F59" s="515"/>
      <c r="G59" s="515"/>
      <c r="H59" s="516"/>
      <c r="I59" s="509"/>
      <c r="J59" s="512"/>
      <c r="K59" s="513"/>
    </row>
    <row r="60" spans="1:11" ht="12.75" customHeight="1" x14ac:dyDescent="0.2">
      <c r="A60" s="411">
        <v>42747</v>
      </c>
      <c r="B60" s="368" t="s">
        <v>163</v>
      </c>
      <c r="C60" s="317"/>
      <c r="D60" s="375">
        <v>39</v>
      </c>
      <c r="E60" s="343" t="s">
        <v>167</v>
      </c>
      <c r="F60" s="420"/>
      <c r="G60" s="420"/>
      <c r="H60" s="421"/>
      <c r="I60" s="422">
        <f>55600000-778310-67269-4858-345229-4858-183010-182919-67319-4858-781749-342430-65490-969220-65490-65490-180420-65490-61593-65490-74640-1035050-74640-284853-74640-74640-194380-831400-69880-182130-69880-977090-69880-784520-279137-43693025-147090-69880-147090-69880</f>
        <v>2094783</v>
      </c>
      <c r="J60" s="318"/>
      <c r="K60" s="317"/>
    </row>
    <row r="61" spans="1:11" ht="15" customHeight="1" x14ac:dyDescent="0.2">
      <c r="A61" s="423">
        <v>42983</v>
      </c>
      <c r="B61" s="379" t="s">
        <v>163</v>
      </c>
      <c r="C61" s="424"/>
      <c r="D61" s="381">
        <v>800</v>
      </c>
      <c r="E61" s="287" t="s">
        <v>709</v>
      </c>
      <c r="F61" s="425"/>
      <c r="G61" s="425"/>
      <c r="H61" s="393"/>
      <c r="I61" s="426">
        <v>40694000</v>
      </c>
      <c r="J61" s="379"/>
      <c r="K61" s="410"/>
    </row>
    <row r="62" spans="1:11" x14ac:dyDescent="0.2">
      <c r="A62" s="336"/>
      <c r="B62" s="337"/>
      <c r="C62" s="337"/>
      <c r="D62" s="337"/>
      <c r="E62" s="337"/>
      <c r="F62" s="337"/>
      <c r="G62" s="517" t="s">
        <v>132</v>
      </c>
      <c r="H62" s="518"/>
      <c r="I62" s="338">
        <f>SUM(I60:I61)</f>
        <v>42788783</v>
      </c>
      <c r="J62" s="339"/>
      <c r="K62" s="340"/>
    </row>
    <row r="63" spans="1:11" ht="15" customHeight="1" x14ac:dyDescent="0.2">
      <c r="A63" s="313" t="s">
        <v>113</v>
      </c>
      <c r="B63" s="313" t="s">
        <v>3</v>
      </c>
      <c r="C63" s="313"/>
      <c r="D63" s="313"/>
      <c r="E63" s="314"/>
      <c r="F63" s="314"/>
      <c r="G63" s="314"/>
      <c r="H63" s="314"/>
      <c r="I63" s="314"/>
      <c r="J63" s="314"/>
      <c r="K63" s="194"/>
    </row>
    <row r="64" spans="1:11" ht="12.75" customHeight="1" x14ac:dyDescent="0.2">
      <c r="A64" s="348">
        <v>42747</v>
      </c>
      <c r="B64" s="368" t="s">
        <v>165</v>
      </c>
      <c r="C64" s="427"/>
      <c r="D64" s="375">
        <v>42</v>
      </c>
      <c r="E64" s="343" t="s">
        <v>168</v>
      </c>
      <c r="F64" s="428"/>
      <c r="G64" s="376"/>
      <c r="H64" s="377"/>
      <c r="I64" s="429">
        <f>309000000-14859830-15132490-14901880-16673140-13629030-15245390-14648580-14469840-107330670</f>
        <v>82109150</v>
      </c>
      <c r="J64" s="318"/>
      <c r="K64" s="317"/>
    </row>
    <row r="65" spans="1:11" x14ac:dyDescent="0.2">
      <c r="A65" s="348">
        <v>42983</v>
      </c>
      <c r="B65" s="368" t="s">
        <v>165</v>
      </c>
      <c r="C65" s="417"/>
      <c r="D65" s="430">
        <v>800</v>
      </c>
      <c r="E65" s="416" t="s">
        <v>709</v>
      </c>
      <c r="F65" s="417"/>
      <c r="G65" s="417"/>
      <c r="H65" s="418"/>
      <c r="I65" s="431">
        <v>101759544</v>
      </c>
      <c r="J65" s="432"/>
      <c r="K65" s="331"/>
    </row>
    <row r="66" spans="1:11" x14ac:dyDescent="0.2">
      <c r="A66" s="336"/>
      <c r="B66" s="337"/>
      <c r="C66" s="337"/>
      <c r="D66" s="337"/>
      <c r="E66" s="337"/>
      <c r="F66" s="337"/>
      <c r="G66" s="517" t="s">
        <v>132</v>
      </c>
      <c r="H66" s="518"/>
      <c r="I66" s="338">
        <f>SUM(I64:I65)</f>
        <v>183868694</v>
      </c>
      <c r="J66" s="339"/>
      <c r="K66" s="340"/>
    </row>
    <row r="67" spans="1:11" ht="15" customHeight="1" x14ac:dyDescent="0.2">
      <c r="A67" s="313" t="s">
        <v>127</v>
      </c>
      <c r="B67" s="341" t="s">
        <v>128</v>
      </c>
      <c r="C67" s="313"/>
      <c r="D67" s="313"/>
      <c r="E67" s="314"/>
      <c r="F67" s="314"/>
      <c r="G67" s="314"/>
      <c r="H67" s="314"/>
      <c r="I67" s="314"/>
      <c r="J67" s="314"/>
      <c r="K67" s="194"/>
    </row>
    <row r="68" spans="1:11" x14ac:dyDescent="0.2">
      <c r="A68" s="348">
        <v>42864</v>
      </c>
      <c r="B68" s="416" t="s">
        <v>303</v>
      </c>
      <c r="C68" s="414"/>
      <c r="D68" s="415">
        <v>599</v>
      </c>
      <c r="E68" s="433" t="s">
        <v>400</v>
      </c>
      <c r="F68" s="417"/>
      <c r="G68" s="417"/>
      <c r="H68" s="418"/>
      <c r="I68" s="419">
        <f>25500000-11730000</f>
        <v>13770000</v>
      </c>
      <c r="J68" s="322"/>
      <c r="K68" s="331"/>
    </row>
    <row r="69" spans="1:11" x14ac:dyDescent="0.2">
      <c r="A69" s="336"/>
      <c r="B69" s="337"/>
      <c r="C69" s="337"/>
      <c r="D69" s="337"/>
      <c r="E69" s="337"/>
      <c r="F69" s="337"/>
      <c r="G69" s="517" t="s">
        <v>132</v>
      </c>
      <c r="H69" s="518"/>
      <c r="I69" s="338">
        <f>SUM(I68:I68)</f>
        <v>13770000</v>
      </c>
      <c r="J69" s="339"/>
      <c r="K69" s="340"/>
    </row>
    <row r="70" spans="1:11" ht="15" customHeight="1" x14ac:dyDescent="0.2">
      <c r="A70" s="313" t="s">
        <v>114</v>
      </c>
      <c r="B70" s="341" t="s">
        <v>52</v>
      </c>
      <c r="C70" s="313"/>
      <c r="D70" s="313"/>
      <c r="E70" s="314"/>
      <c r="F70" s="314"/>
      <c r="G70" s="314"/>
      <c r="H70" s="314"/>
      <c r="I70" s="314"/>
      <c r="J70" s="314"/>
      <c r="K70" s="194"/>
    </row>
    <row r="71" spans="1:11" ht="12.75" customHeight="1" x14ac:dyDescent="0.2">
      <c r="A71" s="342">
        <v>42787</v>
      </c>
      <c r="B71" s="396" t="s">
        <v>303</v>
      </c>
      <c r="C71" s="323"/>
      <c r="D71" s="355">
        <v>305</v>
      </c>
      <c r="E71" s="325" t="s">
        <v>401</v>
      </c>
      <c r="F71" s="326"/>
      <c r="G71" s="327"/>
      <c r="H71" s="328"/>
      <c r="I71" s="434">
        <v>26476812</v>
      </c>
      <c r="J71" s="325"/>
      <c r="K71" s="323"/>
    </row>
    <row r="72" spans="1:11" x14ac:dyDescent="0.2">
      <c r="A72" s="348">
        <v>42787</v>
      </c>
      <c r="B72" s="403" t="s">
        <v>303</v>
      </c>
      <c r="C72" s="331"/>
      <c r="D72" s="387">
        <v>306</v>
      </c>
      <c r="E72" s="322" t="s">
        <v>402</v>
      </c>
      <c r="F72" s="406"/>
      <c r="G72" s="435"/>
      <c r="H72" s="436"/>
      <c r="I72" s="437">
        <v>83791</v>
      </c>
      <c r="J72" s="403"/>
      <c r="K72" s="331"/>
    </row>
    <row r="73" spans="1:11" x14ac:dyDescent="0.2">
      <c r="A73" s="336"/>
      <c r="B73" s="337"/>
      <c r="C73" s="337"/>
      <c r="D73" s="337"/>
      <c r="E73" s="337"/>
      <c r="F73" s="337"/>
      <c r="G73" s="517" t="s">
        <v>132</v>
      </c>
      <c r="H73" s="518"/>
      <c r="I73" s="338">
        <f>SUM(I71:I72)</f>
        <v>26560603</v>
      </c>
      <c r="J73" s="339"/>
      <c r="K73" s="340"/>
    </row>
    <row r="74" spans="1:11" ht="15" customHeight="1" x14ac:dyDescent="0.2">
      <c r="A74" s="313" t="s">
        <v>116</v>
      </c>
      <c r="B74" s="341" t="s">
        <v>54</v>
      </c>
      <c r="C74" s="313"/>
      <c r="D74" s="313"/>
      <c r="E74" s="314"/>
      <c r="F74" s="314"/>
      <c r="G74" s="314"/>
      <c r="H74" s="314"/>
      <c r="I74" s="314"/>
      <c r="J74" s="314"/>
      <c r="K74" s="194"/>
    </row>
    <row r="75" spans="1:11" ht="12.75" customHeight="1" x14ac:dyDescent="0.2">
      <c r="A75" s="342">
        <v>42915</v>
      </c>
      <c r="B75" s="438" t="s">
        <v>303</v>
      </c>
      <c r="C75" s="439"/>
      <c r="D75" s="355">
        <v>719</v>
      </c>
      <c r="E75" s="440" t="s">
        <v>598</v>
      </c>
      <c r="F75" s="326"/>
      <c r="G75" s="327"/>
      <c r="H75" s="328"/>
      <c r="I75" s="346">
        <f>27600000-24780000</f>
        <v>2820000</v>
      </c>
      <c r="J75" s="325" t="s">
        <v>196</v>
      </c>
      <c r="K75" s="323"/>
    </row>
    <row r="76" spans="1:11" x14ac:dyDescent="0.2">
      <c r="A76" s="348">
        <v>42915</v>
      </c>
      <c r="B76" s="263" t="s">
        <v>303</v>
      </c>
      <c r="C76" s="393"/>
      <c r="D76" s="387">
        <v>720</v>
      </c>
      <c r="E76" s="349" t="s">
        <v>599</v>
      </c>
      <c r="F76" s="332"/>
      <c r="G76" s="333"/>
      <c r="H76" s="334"/>
      <c r="I76" s="335">
        <v>35000000</v>
      </c>
      <c r="J76" s="322"/>
      <c r="K76" s="331"/>
    </row>
    <row r="77" spans="1:11" x14ac:dyDescent="0.2">
      <c r="A77" s="348">
        <v>42923</v>
      </c>
      <c r="B77" s="263" t="s">
        <v>303</v>
      </c>
      <c r="C77" s="425"/>
      <c r="D77" s="387">
        <v>737</v>
      </c>
      <c r="E77" s="349" t="s">
        <v>685</v>
      </c>
      <c r="F77" s="332"/>
      <c r="G77" s="333"/>
      <c r="H77" s="334"/>
      <c r="I77" s="335">
        <f>31600000-15779400</f>
        <v>15820600</v>
      </c>
      <c r="J77" s="322"/>
      <c r="K77" s="331"/>
    </row>
    <row r="78" spans="1:11" x14ac:dyDescent="0.2">
      <c r="A78" s="348">
        <v>42937</v>
      </c>
      <c r="B78" s="263" t="s">
        <v>303</v>
      </c>
      <c r="C78" s="425"/>
      <c r="D78" s="387">
        <v>759</v>
      </c>
      <c r="E78" s="349" t="s">
        <v>684</v>
      </c>
      <c r="F78" s="332"/>
      <c r="G78" s="333"/>
      <c r="H78" s="334"/>
      <c r="I78" s="335">
        <v>15000000</v>
      </c>
      <c r="J78" s="322"/>
      <c r="K78" s="331"/>
    </row>
    <row r="79" spans="1:11" x14ac:dyDescent="0.2">
      <c r="A79" s="336"/>
      <c r="B79" s="337"/>
      <c r="C79" s="337"/>
      <c r="D79" s="337"/>
      <c r="E79" s="337"/>
      <c r="F79" s="337"/>
      <c r="G79" s="517" t="s">
        <v>132</v>
      </c>
      <c r="H79" s="518"/>
      <c r="I79" s="338">
        <f>SUM(I75:I78)</f>
        <v>68640600</v>
      </c>
      <c r="J79" s="339"/>
      <c r="K79" s="340"/>
    </row>
    <row r="80" spans="1:11" ht="15" customHeight="1" x14ac:dyDescent="0.2">
      <c r="A80" s="313" t="s">
        <v>117</v>
      </c>
      <c r="B80" s="341" t="s">
        <v>118</v>
      </c>
      <c r="C80" s="313"/>
      <c r="D80" s="313"/>
      <c r="E80" s="314"/>
      <c r="F80" s="314"/>
      <c r="G80" s="314"/>
      <c r="H80" s="314"/>
      <c r="I80" s="314"/>
      <c r="J80" s="314"/>
      <c r="K80" s="194"/>
    </row>
    <row r="81" spans="1:11" ht="15" customHeight="1" x14ac:dyDescent="0.2">
      <c r="A81" s="342">
        <v>42783</v>
      </c>
      <c r="B81" s="325" t="s">
        <v>165</v>
      </c>
      <c r="C81" s="323"/>
      <c r="D81" s="355">
        <v>276</v>
      </c>
      <c r="E81" s="325" t="s">
        <v>193</v>
      </c>
      <c r="F81" s="326"/>
      <c r="G81" s="327"/>
      <c r="H81" s="328"/>
      <c r="I81" s="441">
        <f>2200000-163880-275000</f>
        <v>1761120</v>
      </c>
      <c r="J81" s="325"/>
      <c r="K81" s="442"/>
    </row>
    <row r="82" spans="1:11" x14ac:dyDescent="0.2">
      <c r="A82" s="326"/>
      <c r="B82" s="326"/>
      <c r="C82" s="326"/>
      <c r="D82" s="326"/>
      <c r="E82" s="326"/>
      <c r="F82" s="337"/>
      <c r="G82" s="517" t="s">
        <v>132</v>
      </c>
      <c r="H82" s="518"/>
      <c r="I82" s="450">
        <f>SUM(I81:I81)</f>
        <v>1761120</v>
      </c>
      <c r="J82" s="339"/>
      <c r="K82" s="340"/>
    </row>
    <row r="83" spans="1:11" ht="15" customHeight="1" x14ac:dyDescent="0.2">
      <c r="A83" s="443" t="s">
        <v>119</v>
      </c>
      <c r="B83" s="444" t="s">
        <v>4</v>
      </c>
      <c r="C83" s="443"/>
      <c r="D83" s="443"/>
      <c r="E83" s="445"/>
      <c r="F83" s="314"/>
      <c r="G83" s="314"/>
      <c r="H83" s="314"/>
      <c r="I83" s="314"/>
      <c r="J83" s="314"/>
      <c r="K83" s="194"/>
    </row>
    <row r="84" spans="1:11" x14ac:dyDescent="0.2">
      <c r="A84" s="342">
        <v>42783</v>
      </c>
      <c r="B84" s="325" t="s">
        <v>165</v>
      </c>
      <c r="C84" s="354"/>
      <c r="D84" s="355">
        <v>276</v>
      </c>
      <c r="E84" s="325" t="s">
        <v>193</v>
      </c>
      <c r="F84" s="326"/>
      <c r="G84" s="327"/>
      <c r="H84" s="328"/>
      <c r="I84" s="346">
        <f>1000000-135550-72240-94517-100840</f>
        <v>596853</v>
      </c>
      <c r="J84" s="325"/>
      <c r="K84" s="323"/>
    </row>
    <row r="85" spans="1:11" x14ac:dyDescent="0.2">
      <c r="A85" s="336"/>
      <c r="B85" s="337"/>
      <c r="C85" s="337"/>
      <c r="D85" s="337"/>
      <c r="E85" s="337"/>
      <c r="F85" s="337"/>
      <c r="G85" s="517" t="s">
        <v>132</v>
      </c>
      <c r="H85" s="518"/>
      <c r="I85" s="338">
        <f>SUM(I84:I84)</f>
        <v>596853</v>
      </c>
      <c r="J85" s="339"/>
      <c r="K85" s="340"/>
    </row>
    <row r="87" spans="1:11" ht="13.5" thickBot="1" x14ac:dyDescent="0.25"/>
    <row r="88" spans="1:11" ht="16.5" thickBot="1" x14ac:dyDescent="0.3">
      <c r="D88" s="522" t="s">
        <v>836</v>
      </c>
      <c r="E88" s="523"/>
      <c r="F88" s="523"/>
      <c r="G88" s="523"/>
      <c r="H88" s="523"/>
      <c r="I88" s="449">
        <f>+I8+I19+I22+I25+I28+I35+I38+I42+I45+I49+I53+I62+I66+I69+I73+I79+I82+I85</f>
        <v>1882470351</v>
      </c>
    </row>
    <row r="92" spans="1:11" x14ac:dyDescent="0.2">
      <c r="I92" s="448"/>
    </row>
  </sheetData>
  <mergeCells count="35">
    <mergeCell ref="D58:D59"/>
    <mergeCell ref="E58:H58"/>
    <mergeCell ref="I58:I59"/>
    <mergeCell ref="J58:K59"/>
    <mergeCell ref="E59:H59"/>
    <mergeCell ref="G62:H62"/>
    <mergeCell ref="G69:H69"/>
    <mergeCell ref="D88:H88"/>
    <mergeCell ref="G53:H53"/>
    <mergeCell ref="G73:H73"/>
    <mergeCell ref="G49:H49"/>
    <mergeCell ref="G79:H79"/>
    <mergeCell ref="G66:H66"/>
    <mergeCell ref="A56:K56"/>
    <mergeCell ref="A58:A59"/>
    <mergeCell ref="B58:B59"/>
    <mergeCell ref="G45:H45"/>
    <mergeCell ref="G82:H82"/>
    <mergeCell ref="G22:H22"/>
    <mergeCell ref="G85:H85"/>
    <mergeCell ref="G25:H25"/>
    <mergeCell ref="A1:K1"/>
    <mergeCell ref="G19:H19"/>
    <mergeCell ref="G28:H28"/>
    <mergeCell ref="G35:H35"/>
    <mergeCell ref="G38:H38"/>
    <mergeCell ref="I4:I5"/>
    <mergeCell ref="J4:K5"/>
    <mergeCell ref="E5:H5"/>
    <mergeCell ref="G8:H8"/>
    <mergeCell ref="G42:H42"/>
    <mergeCell ref="A4:A5"/>
    <mergeCell ref="B4:B5"/>
    <mergeCell ref="D4:D5"/>
    <mergeCell ref="E4:H4"/>
  </mergeCells>
  <printOptions horizontalCentered="1"/>
  <pageMargins left="0.19685039370078741" right="0.19685039370078741" top="0.39370078740157483" bottom="0.39370078740157483" header="0" footer="0"/>
  <pageSetup scale="75"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activeCell="J14" sqref="J14:J23"/>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107</v>
      </c>
      <c r="B3" s="84" t="s">
        <v>48</v>
      </c>
      <c r="C3" s="34"/>
      <c r="D3" s="34"/>
      <c r="E3" s="35"/>
      <c r="F3" s="35"/>
      <c r="G3" s="35"/>
      <c r="H3" s="35"/>
      <c r="I3" s="35"/>
      <c r="J3" s="36"/>
      <c r="K3" s="489" t="s">
        <v>1161</v>
      </c>
    </row>
    <row r="4" spans="1:11" ht="12.75" customHeight="1" x14ac:dyDescent="0.25">
      <c r="A4" s="3"/>
      <c r="B4" s="3"/>
      <c r="C4" s="3"/>
      <c r="D4" s="3"/>
      <c r="E4" s="3"/>
      <c r="F4" s="3"/>
      <c r="G4" s="22"/>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5" customHeight="1" x14ac:dyDescent="0.25">
      <c r="A7" s="48">
        <v>42783</v>
      </c>
      <c r="B7" s="44" t="s">
        <v>165</v>
      </c>
      <c r="C7" s="96"/>
      <c r="D7" s="50">
        <v>276</v>
      </c>
      <c r="E7" s="280" t="s">
        <v>193</v>
      </c>
      <c r="F7" s="37"/>
      <c r="G7" s="51"/>
      <c r="H7" s="52"/>
      <c r="I7" s="75">
        <f>1800000-74500-106600-178000-186400-115000-225000</f>
        <v>914500</v>
      </c>
      <c r="J7" s="42" t="s">
        <v>196</v>
      </c>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527" t="s">
        <v>132</v>
      </c>
      <c r="H9" s="528"/>
      <c r="I9" s="77">
        <f>SUM(I7:I8)</f>
        <v>914500</v>
      </c>
      <c r="J9" s="57"/>
      <c r="K9" s="58"/>
    </row>
    <row r="10" spans="1:11" ht="12.75" customHeight="1" x14ac:dyDescent="0.25">
      <c r="A10" s="3"/>
      <c r="B10" s="3"/>
      <c r="C10" s="3"/>
      <c r="D10" s="3"/>
      <c r="E10" s="3"/>
      <c r="F10" s="3"/>
      <c r="G10" s="3"/>
      <c r="H10" s="3"/>
      <c r="I10" s="120"/>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41"/>
      <c r="B13" s="41"/>
      <c r="C13" s="41"/>
      <c r="D13" s="41"/>
      <c r="E13" s="44"/>
      <c r="F13" s="49"/>
      <c r="G13" s="44"/>
      <c r="H13" s="49"/>
      <c r="I13" s="62"/>
      <c r="J13" s="62"/>
      <c r="K13" s="62"/>
    </row>
    <row r="14" spans="1:11" x14ac:dyDescent="0.25">
      <c r="A14" s="89">
        <v>42874</v>
      </c>
      <c r="B14" s="90" t="s">
        <v>417</v>
      </c>
      <c r="C14" s="91">
        <v>276</v>
      </c>
      <c r="D14" s="91">
        <v>686</v>
      </c>
      <c r="E14" s="99" t="s">
        <v>416</v>
      </c>
      <c r="F14" s="92"/>
      <c r="G14" s="88" t="s">
        <v>96</v>
      </c>
      <c r="H14" s="87"/>
      <c r="I14" s="75">
        <v>74500</v>
      </c>
      <c r="J14" s="75">
        <v>74500</v>
      </c>
      <c r="K14" s="78">
        <f t="shared" ref="K14:K23" si="0">+I14-J14</f>
        <v>0</v>
      </c>
    </row>
    <row r="15" spans="1:11" x14ac:dyDescent="0.25">
      <c r="A15" s="89">
        <v>42907</v>
      </c>
      <c r="B15" s="90" t="s">
        <v>548</v>
      </c>
      <c r="C15" s="91">
        <v>703</v>
      </c>
      <c r="D15" s="91">
        <v>782</v>
      </c>
      <c r="E15" s="99" t="s">
        <v>549</v>
      </c>
      <c r="F15" s="92"/>
      <c r="G15" s="88" t="s">
        <v>550</v>
      </c>
      <c r="H15" s="87"/>
      <c r="I15" s="75">
        <v>15000000</v>
      </c>
      <c r="J15" s="75">
        <v>14999972</v>
      </c>
      <c r="K15" s="78">
        <f t="shared" si="0"/>
        <v>28</v>
      </c>
    </row>
    <row r="16" spans="1:11" x14ac:dyDescent="0.25">
      <c r="A16" s="89">
        <v>42909</v>
      </c>
      <c r="B16" s="90" t="s">
        <v>417</v>
      </c>
      <c r="C16" s="91">
        <v>276</v>
      </c>
      <c r="D16" s="91">
        <v>797</v>
      </c>
      <c r="E16" s="99" t="s">
        <v>545</v>
      </c>
      <c r="F16" s="92"/>
      <c r="G16" s="88" t="s">
        <v>96</v>
      </c>
      <c r="H16" s="87"/>
      <c r="I16" s="75">
        <v>106600</v>
      </c>
      <c r="J16" s="75">
        <v>106600</v>
      </c>
      <c r="K16" s="78">
        <f t="shared" si="0"/>
        <v>0</v>
      </c>
    </row>
    <row r="17" spans="1:11" x14ac:dyDescent="0.25">
      <c r="A17" s="89">
        <v>42962</v>
      </c>
      <c r="B17" s="90" t="s">
        <v>417</v>
      </c>
      <c r="C17" s="91">
        <v>276</v>
      </c>
      <c r="D17" s="91">
        <v>895</v>
      </c>
      <c r="E17" s="99" t="s">
        <v>710</v>
      </c>
      <c r="F17" s="92"/>
      <c r="G17" s="88" t="s">
        <v>96</v>
      </c>
      <c r="H17" s="87"/>
      <c r="I17" s="75">
        <v>178000</v>
      </c>
      <c r="J17" s="75">
        <v>178000</v>
      </c>
      <c r="K17" s="78">
        <f t="shared" si="0"/>
        <v>0</v>
      </c>
    </row>
    <row r="18" spans="1:11" x14ac:dyDescent="0.25">
      <c r="A18" s="89">
        <v>42964</v>
      </c>
      <c r="B18" s="90" t="s">
        <v>716</v>
      </c>
      <c r="C18" s="91">
        <v>757</v>
      </c>
      <c r="D18" s="91">
        <v>900</v>
      </c>
      <c r="E18" s="99" t="s">
        <v>717</v>
      </c>
      <c r="F18" s="92"/>
      <c r="G18" s="88" t="s">
        <v>718</v>
      </c>
      <c r="H18" s="87"/>
      <c r="I18" s="75">
        <v>3000000</v>
      </c>
      <c r="J18" s="75">
        <v>952000</v>
      </c>
      <c r="K18" s="78">
        <f t="shared" si="0"/>
        <v>2048000</v>
      </c>
    </row>
    <row r="19" spans="1:11" x14ac:dyDescent="0.25">
      <c r="A19" s="89">
        <v>42983</v>
      </c>
      <c r="B19" s="90" t="s">
        <v>417</v>
      </c>
      <c r="C19" s="91">
        <v>276</v>
      </c>
      <c r="D19" s="91">
        <v>954</v>
      </c>
      <c r="E19" s="99" t="s">
        <v>807</v>
      </c>
      <c r="F19" s="92"/>
      <c r="G19" s="88" t="s">
        <v>96</v>
      </c>
      <c r="H19" s="87"/>
      <c r="I19" s="75">
        <v>186400</v>
      </c>
      <c r="J19" s="75">
        <v>186400</v>
      </c>
      <c r="K19" s="78">
        <f t="shared" si="0"/>
        <v>0</v>
      </c>
    </row>
    <row r="20" spans="1:11" x14ac:dyDescent="0.25">
      <c r="A20" s="89">
        <v>43019</v>
      </c>
      <c r="B20" s="90" t="s">
        <v>1075</v>
      </c>
      <c r="C20" s="91">
        <v>813</v>
      </c>
      <c r="D20" s="91">
        <v>1149</v>
      </c>
      <c r="E20" s="99" t="s">
        <v>968</v>
      </c>
      <c r="F20" s="92"/>
      <c r="G20" s="88" t="s">
        <v>1077</v>
      </c>
      <c r="H20" s="87"/>
      <c r="I20" s="75">
        <v>19918581</v>
      </c>
      <c r="J20" s="75">
        <v>881561</v>
      </c>
      <c r="K20" s="78">
        <f t="shared" si="0"/>
        <v>19037020</v>
      </c>
    </row>
    <row r="21" spans="1:11" x14ac:dyDescent="0.25">
      <c r="A21" s="89">
        <v>43026</v>
      </c>
      <c r="B21" s="90" t="s">
        <v>417</v>
      </c>
      <c r="C21" s="91">
        <v>276</v>
      </c>
      <c r="D21" s="91">
        <v>1166</v>
      </c>
      <c r="E21" s="99" t="s">
        <v>1074</v>
      </c>
      <c r="F21" s="92"/>
      <c r="G21" s="88" t="s">
        <v>96</v>
      </c>
      <c r="H21" s="87"/>
      <c r="I21" s="75">
        <v>115000</v>
      </c>
      <c r="J21" s="75">
        <v>115000</v>
      </c>
      <c r="K21" s="78">
        <f t="shared" si="0"/>
        <v>0</v>
      </c>
    </row>
    <row r="22" spans="1:11" x14ac:dyDescent="0.25">
      <c r="A22" s="89">
        <v>43026</v>
      </c>
      <c r="B22" s="90" t="s">
        <v>1084</v>
      </c>
      <c r="C22" s="91">
        <v>839</v>
      </c>
      <c r="D22" s="91">
        <v>1168</v>
      </c>
      <c r="E22" s="99" t="s">
        <v>983</v>
      </c>
      <c r="F22" s="92"/>
      <c r="G22" s="88" t="s">
        <v>1085</v>
      </c>
      <c r="H22" s="87"/>
      <c r="I22" s="75">
        <v>130000000</v>
      </c>
      <c r="J22" s="75">
        <v>0</v>
      </c>
      <c r="K22" s="78">
        <f t="shared" si="0"/>
        <v>130000000</v>
      </c>
    </row>
    <row r="23" spans="1:11" x14ac:dyDescent="0.25">
      <c r="A23" s="89">
        <v>43033</v>
      </c>
      <c r="B23" s="90" t="s">
        <v>417</v>
      </c>
      <c r="C23" s="91">
        <v>276</v>
      </c>
      <c r="D23" s="91">
        <v>1209</v>
      </c>
      <c r="E23" s="99" t="s">
        <v>1137</v>
      </c>
      <c r="F23" s="92"/>
      <c r="G23" s="88" t="s">
        <v>96</v>
      </c>
      <c r="H23" s="87"/>
      <c r="I23" s="75">
        <v>225000</v>
      </c>
      <c r="J23" s="75">
        <v>225000</v>
      </c>
      <c r="K23" s="78">
        <f t="shared" si="0"/>
        <v>0</v>
      </c>
    </row>
    <row r="24" spans="1:11" ht="12.75" customHeight="1" x14ac:dyDescent="0.25">
      <c r="A24" s="48"/>
      <c r="B24" s="63"/>
      <c r="C24" s="64"/>
      <c r="D24" s="64"/>
      <c r="E24" s="65"/>
      <c r="F24" s="66"/>
      <c r="G24" s="65"/>
      <c r="H24" s="66"/>
      <c r="I24" s="78"/>
      <c r="J24" s="78"/>
      <c r="K24" s="78"/>
    </row>
    <row r="25" spans="1:11" x14ac:dyDescent="0.25">
      <c r="A25" s="55"/>
      <c r="B25" s="56"/>
      <c r="C25" s="56"/>
      <c r="D25" s="56"/>
      <c r="E25" s="56"/>
      <c r="F25" s="56"/>
      <c r="G25" s="527" t="s">
        <v>132</v>
      </c>
      <c r="H25" s="528"/>
      <c r="I25" s="83">
        <f>SUM(I14:I24)</f>
        <v>168804081</v>
      </c>
      <c r="J25" s="83">
        <f>SUM(J14:J24)</f>
        <v>17719033</v>
      </c>
      <c r="K25" s="83">
        <f>SUM(K14:K24)</f>
        <v>151085048</v>
      </c>
    </row>
    <row r="26" spans="1:11" ht="12.75" customHeight="1" x14ac:dyDescent="0.25">
      <c r="A26" s="3"/>
      <c r="B26" s="3"/>
      <c r="C26" s="3"/>
      <c r="D26" s="3"/>
      <c r="E26" s="3"/>
      <c r="F26" s="3"/>
      <c r="G26" s="3"/>
      <c r="H26" s="3"/>
      <c r="I26" s="22"/>
      <c r="J26" s="93"/>
      <c r="K26" s="56"/>
    </row>
    <row r="27" spans="1:11" ht="24.95" customHeight="1" x14ac:dyDescent="0.25">
      <c r="A27" s="31" t="s">
        <v>58</v>
      </c>
      <c r="B27" s="31" t="s">
        <v>133</v>
      </c>
      <c r="C27" s="31" t="s">
        <v>30</v>
      </c>
      <c r="D27" s="32" t="s">
        <v>59</v>
      </c>
      <c r="E27" s="31" t="s">
        <v>40</v>
      </c>
      <c r="F27" s="31" t="s">
        <v>62</v>
      </c>
      <c r="G27" s="31" t="s">
        <v>37</v>
      </c>
      <c r="H27" s="31" t="s">
        <v>60</v>
      </c>
      <c r="I27" s="31" t="s">
        <v>61</v>
      </c>
      <c r="J27" s="31" t="s">
        <v>99</v>
      </c>
      <c r="K27" s="31" t="s">
        <v>68</v>
      </c>
    </row>
    <row r="28" spans="1:11" ht="24.95" customHeight="1" x14ac:dyDescent="0.25">
      <c r="A28" s="95">
        <v>204970000</v>
      </c>
      <c r="B28" s="95">
        <v>0</v>
      </c>
      <c r="C28" s="95">
        <v>0</v>
      </c>
      <c r="D28" s="82">
        <f>+A28+B28-C28</f>
        <v>204970000</v>
      </c>
      <c r="E28" s="82">
        <f>+I25</f>
        <v>168804081</v>
      </c>
      <c r="F28" s="72">
        <f>+E28/D28</f>
        <v>0.82355506171634874</v>
      </c>
      <c r="G28" s="82">
        <f>+I9</f>
        <v>914500</v>
      </c>
      <c r="H28" s="82">
        <f>+D28-E28-G28</f>
        <v>35251419</v>
      </c>
      <c r="I28" s="82">
        <f>+J25</f>
        <v>17719033</v>
      </c>
      <c r="J28" s="73">
        <f>+I28/D28</f>
        <v>8.6446958091428008E-2</v>
      </c>
      <c r="K28" s="82">
        <f>+K25</f>
        <v>151085048</v>
      </c>
    </row>
    <row r="29" spans="1:11" x14ac:dyDescent="0.25">
      <c r="A29" s="74">
        <v>1</v>
      </c>
      <c r="B29" s="74">
        <v>2</v>
      </c>
      <c r="C29" s="74">
        <v>3</v>
      </c>
      <c r="D29" s="74" t="s">
        <v>42</v>
      </c>
      <c r="E29" s="74">
        <v>5</v>
      </c>
      <c r="F29" s="74" t="s">
        <v>69</v>
      </c>
      <c r="G29" s="74">
        <v>7</v>
      </c>
      <c r="H29" s="74" t="s">
        <v>70</v>
      </c>
      <c r="I29" s="74">
        <v>9</v>
      </c>
      <c r="J29" s="74" t="s">
        <v>100</v>
      </c>
      <c r="K29" s="74" t="s">
        <v>101</v>
      </c>
    </row>
  </sheetData>
  <mergeCells count="15">
    <mergeCell ref="J11:J12"/>
    <mergeCell ref="I11:I12"/>
    <mergeCell ref="A11:A12"/>
    <mergeCell ref="B5:B6"/>
    <mergeCell ref="D5:D6"/>
    <mergeCell ref="I5:I6"/>
    <mergeCell ref="J5:K6"/>
    <mergeCell ref="A5:A6"/>
    <mergeCell ref="G25:H25"/>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N23" sqref="N23"/>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108</v>
      </c>
      <c r="B3" s="84" t="s">
        <v>49</v>
      </c>
      <c r="C3" s="34"/>
      <c r="D3" s="34"/>
      <c r="E3" s="35"/>
      <c r="F3" s="35"/>
      <c r="G3" s="35"/>
      <c r="H3" s="35"/>
      <c r="I3" s="35"/>
      <c r="J3" s="36"/>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113"/>
      <c r="B7" s="267"/>
      <c r="C7" s="142"/>
      <c r="D7" s="139"/>
      <c r="E7" s="268"/>
      <c r="F7" s="114"/>
      <c r="G7" s="114"/>
      <c r="H7" s="115"/>
      <c r="I7" s="142"/>
      <c r="J7" s="139"/>
      <c r="K7" s="116"/>
    </row>
    <row r="8" spans="1:11" x14ac:dyDescent="0.25">
      <c r="A8" s="48">
        <v>42740</v>
      </c>
      <c r="B8" s="152" t="s">
        <v>165</v>
      </c>
      <c r="C8" s="142"/>
      <c r="D8" s="129">
        <v>6</v>
      </c>
      <c r="E8" s="65" t="s">
        <v>178</v>
      </c>
      <c r="F8" s="114"/>
      <c r="G8" s="114"/>
      <c r="H8" s="115"/>
      <c r="I8" s="233">
        <v>10617719</v>
      </c>
      <c r="J8" s="152" t="s">
        <v>196</v>
      </c>
      <c r="K8" s="116"/>
    </row>
    <row r="9" spans="1:11" x14ac:dyDescent="0.25">
      <c r="A9" s="48">
        <v>42783</v>
      </c>
      <c r="B9" s="152" t="s">
        <v>165</v>
      </c>
      <c r="C9" s="142"/>
      <c r="D9" s="129">
        <v>276</v>
      </c>
      <c r="E9" s="65" t="s">
        <v>193</v>
      </c>
      <c r="F9" s="114"/>
      <c r="G9" s="114"/>
      <c r="H9" s="115"/>
      <c r="I9" s="233">
        <v>1700000</v>
      </c>
      <c r="J9" s="88"/>
      <c r="K9" s="87"/>
    </row>
    <row r="10" spans="1:11" ht="12.75" customHeight="1" x14ac:dyDescent="0.25">
      <c r="A10" s="89"/>
      <c r="B10" s="124"/>
      <c r="C10" s="125"/>
      <c r="D10" s="231"/>
      <c r="E10" s="232"/>
      <c r="F10" s="92"/>
      <c r="G10" s="123"/>
      <c r="H10" s="68"/>
      <c r="I10" s="127"/>
      <c r="J10" s="44"/>
      <c r="K10" s="49"/>
    </row>
    <row r="11" spans="1:11" x14ac:dyDescent="0.25">
      <c r="A11" s="55"/>
      <c r="B11" s="56"/>
      <c r="C11" s="56"/>
      <c r="D11" s="56"/>
      <c r="E11" s="56"/>
      <c r="F11" s="56"/>
      <c r="G11" s="527" t="s">
        <v>132</v>
      </c>
      <c r="H11" s="528"/>
      <c r="I11" s="77">
        <f>SUM(I8:I10)</f>
        <v>12317719</v>
      </c>
      <c r="J11" s="57"/>
      <c r="K11" s="58"/>
    </row>
    <row r="12" spans="1:11" ht="12.75" customHeight="1" x14ac:dyDescent="0.25">
      <c r="A12" s="3"/>
      <c r="B12" s="3"/>
      <c r="C12" s="3"/>
      <c r="D12" s="3"/>
      <c r="E12" s="3"/>
      <c r="F12" s="3"/>
      <c r="G12" s="3"/>
      <c r="H12" s="3"/>
      <c r="I12" s="98"/>
      <c r="J12" s="37"/>
      <c r="K12" s="49"/>
    </row>
    <row r="13" spans="1:11" x14ac:dyDescent="0.25">
      <c r="A13" s="60" t="s">
        <v>28</v>
      </c>
      <c r="B13" s="30" t="s">
        <v>38</v>
      </c>
      <c r="C13" s="60" t="s">
        <v>34</v>
      </c>
      <c r="D13" s="59" t="s">
        <v>34</v>
      </c>
      <c r="E13" s="533" t="s">
        <v>40</v>
      </c>
      <c r="F13" s="534"/>
      <c r="G13" s="534"/>
      <c r="H13" s="535"/>
      <c r="I13" s="529" t="s">
        <v>31</v>
      </c>
      <c r="J13" s="529" t="s">
        <v>29</v>
      </c>
      <c r="K13" s="60" t="s">
        <v>56</v>
      </c>
    </row>
    <row r="14" spans="1:11" x14ac:dyDescent="0.25">
      <c r="A14" s="61"/>
      <c r="B14" s="61" t="s">
        <v>39</v>
      </c>
      <c r="C14" s="61" t="s">
        <v>36</v>
      </c>
      <c r="D14" s="61" t="s">
        <v>35</v>
      </c>
      <c r="E14" s="533" t="s">
        <v>33</v>
      </c>
      <c r="F14" s="535"/>
      <c r="G14" s="533" t="s">
        <v>32</v>
      </c>
      <c r="H14" s="535"/>
      <c r="I14" s="530"/>
      <c r="J14" s="530"/>
      <c r="K14" s="61" t="s">
        <v>57</v>
      </c>
    </row>
    <row r="15" spans="1:11" ht="15" customHeight="1" x14ac:dyDescent="0.25">
      <c r="A15" s="89">
        <v>42748</v>
      </c>
      <c r="B15" s="90" t="s">
        <v>177</v>
      </c>
      <c r="C15" s="91">
        <v>6</v>
      </c>
      <c r="D15" s="91">
        <v>44</v>
      </c>
      <c r="E15" s="44" t="s">
        <v>178</v>
      </c>
      <c r="F15" s="87"/>
      <c r="G15" s="88" t="s">
        <v>179</v>
      </c>
      <c r="H15" s="87"/>
      <c r="I15" s="75">
        <f>377000000-10617719</f>
        <v>366382281</v>
      </c>
      <c r="J15" s="75">
        <v>366382281</v>
      </c>
      <c r="K15" s="78">
        <f t="shared" ref="K15:K24" si="0">+I15-J15</f>
        <v>0</v>
      </c>
    </row>
    <row r="16" spans="1:11" ht="15" customHeight="1" x14ac:dyDescent="0.25">
      <c r="A16" s="89">
        <v>42809</v>
      </c>
      <c r="B16" s="90" t="s">
        <v>281</v>
      </c>
      <c r="C16" s="91">
        <v>241</v>
      </c>
      <c r="D16" s="91">
        <v>414</v>
      </c>
      <c r="E16" s="44" t="s">
        <v>194</v>
      </c>
      <c r="F16" s="87"/>
      <c r="G16" s="88" t="s">
        <v>277</v>
      </c>
      <c r="H16" s="87"/>
      <c r="I16" s="75">
        <v>636080214</v>
      </c>
      <c r="J16" s="75">
        <v>431803264</v>
      </c>
      <c r="K16" s="78">
        <f t="shared" si="0"/>
        <v>204276950</v>
      </c>
    </row>
    <row r="17" spans="1:11" ht="15" customHeight="1" x14ac:dyDescent="0.25">
      <c r="A17" s="89">
        <v>42837</v>
      </c>
      <c r="B17" s="90" t="s">
        <v>319</v>
      </c>
      <c r="C17" s="266">
        <v>332</v>
      </c>
      <c r="D17" s="297">
        <v>533</v>
      </c>
      <c r="E17" s="44" t="s">
        <v>320</v>
      </c>
      <c r="F17" s="87"/>
      <c r="G17" s="88" t="s">
        <v>321</v>
      </c>
      <c r="H17" s="296"/>
      <c r="I17" s="101">
        <v>992375400</v>
      </c>
      <c r="J17" s="101">
        <v>748049655</v>
      </c>
      <c r="K17" s="78">
        <f t="shared" si="0"/>
        <v>244325745</v>
      </c>
    </row>
    <row r="18" spans="1:11" ht="15" customHeight="1" x14ac:dyDescent="0.25">
      <c r="A18" s="89">
        <v>42853</v>
      </c>
      <c r="B18" s="90" t="s">
        <v>372</v>
      </c>
      <c r="C18" s="91">
        <v>552</v>
      </c>
      <c r="D18" s="91">
        <v>594</v>
      </c>
      <c r="E18" s="44" t="s">
        <v>357</v>
      </c>
      <c r="F18" s="87"/>
      <c r="G18" s="88" t="s">
        <v>373</v>
      </c>
      <c r="H18" s="296"/>
      <c r="I18" s="101">
        <v>4267873</v>
      </c>
      <c r="J18" s="78">
        <v>4267873</v>
      </c>
      <c r="K18" s="78">
        <f t="shared" si="0"/>
        <v>0</v>
      </c>
    </row>
    <row r="19" spans="1:11" ht="15" customHeight="1" x14ac:dyDescent="0.25">
      <c r="A19" s="295">
        <v>42892</v>
      </c>
      <c r="B19" s="88" t="s">
        <v>520</v>
      </c>
      <c r="C19" s="163">
        <v>502</v>
      </c>
      <c r="D19" s="163">
        <v>729</v>
      </c>
      <c r="E19" s="44" t="s">
        <v>523</v>
      </c>
      <c r="F19" s="296"/>
      <c r="G19" s="88" t="s">
        <v>524</v>
      </c>
      <c r="H19" s="296"/>
      <c r="I19" s="101">
        <v>6946030</v>
      </c>
      <c r="J19" s="78">
        <v>2083809</v>
      </c>
      <c r="K19" s="78">
        <f t="shared" si="0"/>
        <v>4862221</v>
      </c>
    </row>
    <row r="20" spans="1:11" ht="15" customHeight="1" x14ac:dyDescent="0.25">
      <c r="A20" s="295">
        <v>42895</v>
      </c>
      <c r="B20" s="88" t="s">
        <v>521</v>
      </c>
      <c r="C20" s="163">
        <v>678</v>
      </c>
      <c r="D20" s="163">
        <v>739</v>
      </c>
      <c r="E20" s="44" t="s">
        <v>522</v>
      </c>
      <c r="F20" s="296"/>
      <c r="G20" s="88" t="s">
        <v>525</v>
      </c>
      <c r="H20" s="296"/>
      <c r="I20" s="101">
        <v>60000000</v>
      </c>
      <c r="J20" s="245">
        <v>32818523</v>
      </c>
      <c r="K20" s="78">
        <f t="shared" si="0"/>
        <v>27181477</v>
      </c>
    </row>
    <row r="21" spans="1:11" ht="15" customHeight="1" x14ac:dyDescent="0.25">
      <c r="A21" s="295">
        <v>42915</v>
      </c>
      <c r="B21" s="88" t="s">
        <v>551</v>
      </c>
      <c r="C21" s="163">
        <v>467</v>
      </c>
      <c r="D21" s="163">
        <v>807</v>
      </c>
      <c r="E21" s="44" t="s">
        <v>282</v>
      </c>
      <c r="F21" s="296"/>
      <c r="G21" s="88" t="s">
        <v>552</v>
      </c>
      <c r="H21" s="296"/>
      <c r="I21" s="245">
        <v>7406824</v>
      </c>
      <c r="J21" s="245">
        <v>1481364</v>
      </c>
      <c r="K21" s="78">
        <f t="shared" si="0"/>
        <v>5925460</v>
      </c>
    </row>
    <row r="22" spans="1:11" ht="15" customHeight="1" x14ac:dyDescent="0.25">
      <c r="A22" s="295">
        <v>42928</v>
      </c>
      <c r="B22" s="88" t="s">
        <v>644</v>
      </c>
      <c r="C22" s="163">
        <v>727</v>
      </c>
      <c r="D22" s="163">
        <v>826</v>
      </c>
      <c r="E22" s="44" t="s">
        <v>645</v>
      </c>
      <c r="F22" s="296"/>
      <c r="G22" s="88" t="s">
        <v>647</v>
      </c>
      <c r="H22" s="296"/>
      <c r="I22" s="245">
        <v>7500000</v>
      </c>
      <c r="J22" s="245">
        <v>1651850</v>
      </c>
      <c r="K22" s="78">
        <f t="shared" si="0"/>
        <v>5848150</v>
      </c>
    </row>
    <row r="23" spans="1:11" ht="15" customHeight="1" x14ac:dyDescent="0.25">
      <c r="A23" s="295">
        <v>42935</v>
      </c>
      <c r="B23" s="88" t="s">
        <v>643</v>
      </c>
      <c r="C23" s="163">
        <v>667</v>
      </c>
      <c r="D23" s="163">
        <v>845</v>
      </c>
      <c r="E23" s="44" t="s">
        <v>646</v>
      </c>
      <c r="F23" s="296"/>
      <c r="G23" s="88" t="s">
        <v>648</v>
      </c>
      <c r="H23" s="296"/>
      <c r="I23" s="245">
        <v>400000000</v>
      </c>
      <c r="J23" s="507">
        <v>313956655.63</v>
      </c>
      <c r="K23" s="78">
        <f t="shared" si="0"/>
        <v>86043344.370000005</v>
      </c>
    </row>
    <row r="24" spans="1:11" ht="15" customHeight="1" x14ac:dyDescent="0.25">
      <c r="A24" s="295">
        <v>43061</v>
      </c>
      <c r="B24" s="88" t="s">
        <v>1183</v>
      </c>
      <c r="C24" s="163">
        <v>998</v>
      </c>
      <c r="D24" s="163">
        <v>1320</v>
      </c>
      <c r="E24" s="44" t="s">
        <v>1184</v>
      </c>
      <c r="F24" s="296"/>
      <c r="G24" s="88" t="s">
        <v>648</v>
      </c>
      <c r="H24" s="296"/>
      <c r="I24" s="245">
        <v>200000000</v>
      </c>
      <c r="J24" s="245">
        <v>0</v>
      </c>
      <c r="K24" s="78">
        <f t="shared" si="0"/>
        <v>200000000</v>
      </c>
    </row>
    <row r="25" spans="1:11" ht="15" customHeight="1" x14ac:dyDescent="0.25">
      <c r="A25" s="295"/>
      <c r="B25" s="88"/>
      <c r="C25" s="163"/>
      <c r="D25" s="163"/>
      <c r="E25" s="44"/>
      <c r="F25" s="296"/>
      <c r="G25" s="88"/>
      <c r="H25" s="296"/>
      <c r="I25" s="245"/>
      <c r="J25" s="245"/>
      <c r="K25" s="78"/>
    </row>
    <row r="26" spans="1:11" x14ac:dyDescent="0.25">
      <c r="B26" s="246"/>
      <c r="C26" s="246"/>
      <c r="D26" s="246"/>
      <c r="E26" s="163"/>
      <c r="G26" s="252"/>
      <c r="I26" s="246"/>
      <c r="J26" s="245"/>
      <c r="K26" s="172"/>
    </row>
    <row r="27" spans="1:11" x14ac:dyDescent="0.25">
      <c r="A27" s="55"/>
      <c r="B27" s="56"/>
      <c r="C27" s="56"/>
      <c r="D27" s="56"/>
      <c r="E27" s="56"/>
      <c r="F27" s="56"/>
      <c r="G27" s="527" t="s">
        <v>132</v>
      </c>
      <c r="H27" s="528"/>
      <c r="I27" s="83">
        <f>SUM(I15:I26)</f>
        <v>2680958622</v>
      </c>
      <c r="J27" s="83">
        <f>SUM(J15:J26)</f>
        <v>1902495274.6300001</v>
      </c>
      <c r="K27" s="83">
        <f>SUM(K15:K26)</f>
        <v>778463347.37</v>
      </c>
    </row>
    <row r="28" spans="1:11" ht="12.75" customHeight="1" x14ac:dyDescent="0.25">
      <c r="A28" s="3"/>
      <c r="B28" s="3"/>
      <c r="C28" s="3"/>
      <c r="D28" s="3"/>
      <c r="E28" s="3"/>
      <c r="F28" s="3"/>
      <c r="G28" s="3"/>
      <c r="H28" s="3"/>
      <c r="I28" s="22"/>
      <c r="J28" s="93"/>
      <c r="K28" s="178"/>
    </row>
    <row r="29" spans="1:11" ht="24.95" customHeight="1" x14ac:dyDescent="0.25">
      <c r="A29" s="31" t="s">
        <v>58</v>
      </c>
      <c r="B29" s="31" t="s">
        <v>133</v>
      </c>
      <c r="C29" s="31" t="s">
        <v>30</v>
      </c>
      <c r="D29" s="32" t="s">
        <v>59</v>
      </c>
      <c r="E29" s="31" t="s">
        <v>40</v>
      </c>
      <c r="F29" s="31" t="s">
        <v>62</v>
      </c>
      <c r="G29" s="31" t="s">
        <v>37</v>
      </c>
      <c r="H29" s="31" t="s">
        <v>60</v>
      </c>
      <c r="I29" s="31" t="s">
        <v>61</v>
      </c>
      <c r="J29" s="31" t="s">
        <v>99</v>
      </c>
      <c r="K29" s="31" t="s">
        <v>68</v>
      </c>
    </row>
    <row r="30" spans="1:11" ht="24.95" customHeight="1" x14ac:dyDescent="0.25">
      <c r="A30" s="95">
        <v>2518100000</v>
      </c>
      <c r="B30" s="95">
        <f>-2222224+242000000</f>
        <v>239777776</v>
      </c>
      <c r="C30" s="95">
        <v>0</v>
      </c>
      <c r="D30" s="82">
        <f>+A30+B30-C30</f>
        <v>2757877776</v>
      </c>
      <c r="E30" s="82">
        <f>+I27</f>
        <v>2680958622</v>
      </c>
      <c r="F30" s="72">
        <f>+E30/D30</f>
        <v>0.97210929553536529</v>
      </c>
      <c r="G30" s="82">
        <f>+I11</f>
        <v>12317719</v>
      </c>
      <c r="H30" s="82">
        <f>+D30-E30-G30</f>
        <v>64601435</v>
      </c>
      <c r="I30" s="82">
        <f>+J27</f>
        <v>1902495274.6300001</v>
      </c>
      <c r="J30" s="73">
        <f>+I30/D30</f>
        <v>0.68984031532730261</v>
      </c>
      <c r="K30" s="82">
        <f>+K27</f>
        <v>778463347.37</v>
      </c>
    </row>
    <row r="31" spans="1:11" x14ac:dyDescent="0.25">
      <c r="A31" s="74">
        <v>1</v>
      </c>
      <c r="B31" s="74">
        <v>2</v>
      </c>
      <c r="C31" s="74">
        <v>3</v>
      </c>
      <c r="D31" s="74" t="s">
        <v>42</v>
      </c>
      <c r="E31" s="74">
        <v>5</v>
      </c>
      <c r="F31" s="74" t="s">
        <v>69</v>
      </c>
      <c r="G31" s="74">
        <v>7</v>
      </c>
      <c r="H31" s="74" t="s">
        <v>70</v>
      </c>
      <c r="I31" s="74">
        <v>9</v>
      </c>
      <c r="J31" s="74" t="s">
        <v>100</v>
      </c>
      <c r="K31" s="74" t="s">
        <v>101</v>
      </c>
    </row>
    <row r="34" spans="2:2" x14ac:dyDescent="0.25">
      <c r="B34" s="238"/>
    </row>
  </sheetData>
  <mergeCells count="14">
    <mergeCell ref="G27:H27"/>
    <mergeCell ref="E13:H13"/>
    <mergeCell ref="E14:F14"/>
    <mergeCell ref="G14:H14"/>
    <mergeCell ref="E5:H5"/>
    <mergeCell ref="E6:H6"/>
    <mergeCell ref="G11:H11"/>
    <mergeCell ref="B5:B6"/>
    <mergeCell ref="A5:A6"/>
    <mergeCell ref="D5:D6"/>
    <mergeCell ref="J13:J14"/>
    <mergeCell ref="I13:I14"/>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J15" sqref="J1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109</v>
      </c>
      <c r="B3" s="84" t="s">
        <v>50</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48"/>
      <c r="B7" s="42"/>
      <c r="C7" s="45"/>
      <c r="D7" s="129"/>
      <c r="E7" s="42"/>
      <c r="F7" s="45"/>
      <c r="G7" s="46"/>
      <c r="H7" s="47"/>
      <c r="I7" s="78"/>
      <c r="J7" s="42"/>
      <c r="K7" s="47"/>
    </row>
    <row r="8" spans="1:11" ht="12.75" customHeight="1" x14ac:dyDescent="0.25">
      <c r="A8" s="48"/>
      <c r="B8" s="44"/>
      <c r="C8" s="37"/>
      <c r="D8" s="44"/>
      <c r="E8" s="44"/>
      <c r="F8" s="37"/>
      <c r="G8" s="51"/>
      <c r="H8" s="52"/>
      <c r="I8" s="54"/>
      <c r="J8" s="44"/>
      <c r="K8" s="49"/>
    </row>
    <row r="9" spans="1:11" x14ac:dyDescent="0.25">
      <c r="A9" s="55"/>
      <c r="B9" s="56"/>
      <c r="C9" s="56"/>
      <c r="D9" s="56"/>
      <c r="E9" s="56"/>
      <c r="F9" s="56"/>
      <c r="G9" s="527" t="s">
        <v>132</v>
      </c>
      <c r="H9" s="528"/>
      <c r="I9" s="77">
        <f>SUM(I7:I8)</f>
        <v>0</v>
      </c>
      <c r="J9" s="57"/>
      <c r="K9" s="58"/>
    </row>
    <row r="10" spans="1:11" ht="12.75" customHeight="1" x14ac:dyDescent="0.25">
      <c r="A10" s="3"/>
      <c r="B10" s="3"/>
      <c r="C10" s="3"/>
      <c r="D10" s="3"/>
      <c r="E10" s="3"/>
      <c r="F10" s="3"/>
      <c r="G10" s="3"/>
      <c r="H10" s="3"/>
      <c r="I10" s="120"/>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130"/>
      <c r="B13" s="62"/>
      <c r="C13" s="62"/>
      <c r="D13" s="62"/>
      <c r="E13" s="42"/>
      <c r="F13" s="43"/>
      <c r="G13" s="42"/>
      <c r="H13" s="43"/>
      <c r="I13" s="47"/>
      <c r="J13" s="62"/>
      <c r="K13" s="131"/>
    </row>
    <row r="14" spans="1:11" x14ac:dyDescent="0.25">
      <c r="A14" s="48">
        <v>42872</v>
      </c>
      <c r="B14" s="63" t="s">
        <v>719</v>
      </c>
      <c r="C14" s="64">
        <v>487</v>
      </c>
      <c r="D14" s="64">
        <v>670</v>
      </c>
      <c r="E14" s="44" t="s">
        <v>447</v>
      </c>
      <c r="F14" s="66"/>
      <c r="G14" s="88" t="s">
        <v>448</v>
      </c>
      <c r="H14" s="66"/>
      <c r="I14" s="78">
        <v>24990000</v>
      </c>
      <c r="J14" s="78">
        <v>24990000</v>
      </c>
      <c r="K14" s="108">
        <f>+I14-J14</f>
        <v>0</v>
      </c>
    </row>
    <row r="15" spans="1:11" x14ac:dyDescent="0.25">
      <c r="A15" s="48">
        <v>42962</v>
      </c>
      <c r="B15" s="63" t="s">
        <v>719</v>
      </c>
      <c r="C15" s="64">
        <v>752</v>
      </c>
      <c r="D15" s="64">
        <v>893</v>
      </c>
      <c r="E15" s="44" t="s">
        <v>720</v>
      </c>
      <c r="F15" s="66"/>
      <c r="G15" s="88" t="s">
        <v>448</v>
      </c>
      <c r="H15" s="66"/>
      <c r="I15" s="78">
        <v>324431994</v>
      </c>
      <c r="J15" s="78">
        <f>185414771+92314632</f>
        <v>277729403</v>
      </c>
      <c r="K15" s="108">
        <f>+I15-J15</f>
        <v>46702591</v>
      </c>
    </row>
    <row r="16" spans="1:11" ht="12.75" customHeight="1" x14ac:dyDescent="0.25">
      <c r="A16" s="48"/>
      <c r="B16" s="41"/>
      <c r="C16" s="41"/>
      <c r="D16" s="41"/>
      <c r="E16" s="44"/>
      <c r="F16" s="49"/>
      <c r="G16" s="44"/>
      <c r="H16" s="49"/>
      <c r="I16" s="94"/>
      <c r="J16" s="94"/>
      <c r="K16" s="94"/>
    </row>
    <row r="17" spans="1:11" x14ac:dyDescent="0.25">
      <c r="A17" s="55"/>
      <c r="B17" s="56"/>
      <c r="C17" s="56"/>
      <c r="D17" s="56"/>
      <c r="E17" s="56"/>
      <c r="F17" s="56"/>
      <c r="G17" s="527" t="s">
        <v>132</v>
      </c>
      <c r="H17" s="528"/>
      <c r="I17" s="83">
        <f>SUM(I13:I16)</f>
        <v>349421994</v>
      </c>
      <c r="J17" s="83">
        <f>SUM(J13:J16)</f>
        <v>302719403</v>
      </c>
      <c r="K17" s="83">
        <f>SUM(K13:K16)</f>
        <v>46702591</v>
      </c>
    </row>
    <row r="18" spans="1:11" ht="12.75" customHeight="1" x14ac:dyDescent="0.25">
      <c r="A18" s="56"/>
      <c r="B18" s="56"/>
      <c r="C18" s="56"/>
      <c r="D18" s="56"/>
      <c r="E18" s="56"/>
      <c r="F18" s="56"/>
      <c r="G18" s="56"/>
      <c r="H18" s="56"/>
      <c r="I18" s="175"/>
      <c r="J18" s="98"/>
      <c r="K18" s="56"/>
    </row>
    <row r="19" spans="1:11" ht="24.95" customHeight="1" x14ac:dyDescent="0.25">
      <c r="A19" s="31" t="s">
        <v>58</v>
      </c>
      <c r="B19" s="31" t="s">
        <v>133</v>
      </c>
      <c r="C19" s="31" t="s">
        <v>30</v>
      </c>
      <c r="D19" s="32" t="s">
        <v>59</v>
      </c>
      <c r="E19" s="31" t="s">
        <v>40</v>
      </c>
      <c r="F19" s="31" t="s">
        <v>62</v>
      </c>
      <c r="G19" s="31" t="s">
        <v>37</v>
      </c>
      <c r="H19" s="31" t="s">
        <v>60</v>
      </c>
      <c r="I19" s="31" t="s">
        <v>61</v>
      </c>
      <c r="J19" s="31" t="s">
        <v>99</v>
      </c>
      <c r="K19" s="31" t="s">
        <v>68</v>
      </c>
    </row>
    <row r="20" spans="1:11" ht="24.95" customHeight="1" x14ac:dyDescent="0.25">
      <c r="A20" s="95">
        <v>818850000</v>
      </c>
      <c r="B20" s="95">
        <f>-291508000-153777170</f>
        <v>-445285170</v>
      </c>
      <c r="C20" s="95">
        <v>0</v>
      </c>
      <c r="D20" s="82">
        <f>+A20+B20-C20</f>
        <v>373564830</v>
      </c>
      <c r="E20" s="82">
        <f>+I17</f>
        <v>349421994</v>
      </c>
      <c r="F20" s="72">
        <f>+E20/D20</f>
        <v>0.9353717639853838</v>
      </c>
      <c r="G20" s="82">
        <f>+I9</f>
        <v>0</v>
      </c>
      <c r="H20" s="82">
        <f>+D20-E20-G20</f>
        <v>24142836</v>
      </c>
      <c r="I20" s="82">
        <f>+J17</f>
        <v>302719403</v>
      </c>
      <c r="J20" s="73">
        <f>+I20/D20</f>
        <v>0.81035305973530747</v>
      </c>
      <c r="K20" s="82">
        <f>+K17</f>
        <v>46702591</v>
      </c>
    </row>
    <row r="21" spans="1:11" x14ac:dyDescent="0.25">
      <c r="A21" s="74">
        <v>1</v>
      </c>
      <c r="B21" s="74">
        <v>2</v>
      </c>
      <c r="C21" s="74">
        <v>3</v>
      </c>
      <c r="D21" s="74" t="s">
        <v>42</v>
      </c>
      <c r="E21" s="74">
        <v>5</v>
      </c>
      <c r="F21" s="74" t="s">
        <v>69</v>
      </c>
      <c r="G21" s="74">
        <v>7</v>
      </c>
      <c r="H21" s="74" t="s">
        <v>70</v>
      </c>
      <c r="I21" s="74">
        <v>9</v>
      </c>
      <c r="J21" s="74" t="s">
        <v>100</v>
      </c>
      <c r="K21" s="74" t="s">
        <v>101</v>
      </c>
    </row>
  </sheetData>
  <mergeCells count="15">
    <mergeCell ref="G17:H17"/>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opLeftCell="A85" zoomScaleNormal="100" workbookViewId="0">
      <selection activeCell="I8" sqref="I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2" ht="12.75" customHeight="1" x14ac:dyDescent="0.25">
      <c r="A1" s="2" t="s">
        <v>98</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4" t="s">
        <v>110</v>
      </c>
      <c r="B3" s="34" t="s">
        <v>0</v>
      </c>
      <c r="C3" s="34"/>
      <c r="D3" s="34"/>
      <c r="E3" s="35"/>
      <c r="F3" s="35"/>
      <c r="G3" s="35"/>
      <c r="H3" s="35"/>
      <c r="I3" s="35"/>
      <c r="J3" s="35"/>
      <c r="K3" s="489" t="s">
        <v>1161</v>
      </c>
    </row>
    <row r="4" spans="1:12" ht="12.75" customHeight="1" x14ac:dyDescent="0.25">
      <c r="A4" s="3"/>
      <c r="B4" s="3"/>
      <c r="C4" s="3"/>
      <c r="D4" s="3"/>
      <c r="E4" s="3"/>
      <c r="F4" s="3"/>
      <c r="G4" s="3"/>
      <c r="H4" s="3"/>
      <c r="I4" s="3"/>
      <c r="J4" s="37"/>
      <c r="K4" s="38"/>
    </row>
    <row r="5" spans="1:12" x14ac:dyDescent="0.25">
      <c r="A5" s="529" t="s">
        <v>28</v>
      </c>
      <c r="B5" s="531" t="s">
        <v>131</v>
      </c>
      <c r="C5" s="39"/>
      <c r="D5" s="529" t="s">
        <v>71</v>
      </c>
      <c r="E5" s="533" t="s">
        <v>37</v>
      </c>
      <c r="F5" s="534"/>
      <c r="G5" s="534"/>
      <c r="H5" s="535"/>
      <c r="I5" s="529" t="s">
        <v>31</v>
      </c>
      <c r="J5" s="536" t="s">
        <v>41</v>
      </c>
      <c r="K5" s="537"/>
    </row>
    <row r="6" spans="1:12" x14ac:dyDescent="0.25">
      <c r="A6" s="530"/>
      <c r="B6" s="532"/>
      <c r="C6" s="40"/>
      <c r="D6" s="530"/>
      <c r="E6" s="533" t="s">
        <v>33</v>
      </c>
      <c r="F6" s="534"/>
      <c r="G6" s="534"/>
      <c r="H6" s="535"/>
      <c r="I6" s="530"/>
      <c r="J6" s="538"/>
      <c r="K6" s="539"/>
    </row>
    <row r="7" spans="1:12" ht="12.75" customHeight="1" x14ac:dyDescent="0.25">
      <c r="A7" s="133">
        <v>42747</v>
      </c>
      <c r="B7" s="134" t="s">
        <v>163</v>
      </c>
      <c r="C7" s="135"/>
      <c r="D7" s="309">
        <v>43</v>
      </c>
      <c r="E7" s="134" t="s">
        <v>164</v>
      </c>
      <c r="F7" s="136"/>
      <c r="G7" s="136"/>
      <c r="H7" s="137"/>
      <c r="I7" s="138">
        <f>609800000-132230-26771941-19420380-1048770-66990-283810-269350-142000-736910-561740-45400-295810-1131200-24135458-1367510-22558357-1411810-573850-167840-87760-1262250-311710-749120-26024673-719250-110540-50230-1065880-326220-24843256-623770-644950-96130-49210-1223870-360360-23268871-763680-54260-703700-1102950-589833-23956067-285790-398090-1163830-54270-162240-637010-1105870-308110-24734673-554910-1797270-53550-70870-243830549-271010-593250-356110-24338015-40680-69860-67450-1337710-189200-2678780-643850-360360-23070010-227030-67210-69630-363630-604510-26823879</f>
        <v>42360898</v>
      </c>
      <c r="J7" s="139" t="s">
        <v>196</v>
      </c>
      <c r="K7" s="310"/>
    </row>
    <row r="8" spans="1:12" ht="12.75" customHeight="1" x14ac:dyDescent="0.25">
      <c r="A8" s="143"/>
      <c r="B8" s="124"/>
      <c r="C8" s="144"/>
      <c r="D8" s="126"/>
      <c r="E8" s="124"/>
      <c r="F8" s="145"/>
      <c r="G8" s="145"/>
      <c r="H8" s="125"/>
      <c r="I8" s="147"/>
      <c r="J8" s="185"/>
      <c r="K8" s="116"/>
    </row>
    <row r="9" spans="1:12" x14ac:dyDescent="0.25">
      <c r="A9" s="55"/>
      <c r="B9" s="56"/>
      <c r="C9" s="56"/>
      <c r="D9" s="56"/>
      <c r="E9" s="56"/>
      <c r="F9" s="56"/>
      <c r="G9" s="527" t="s">
        <v>132</v>
      </c>
      <c r="H9" s="528"/>
      <c r="I9" s="148">
        <f>SUM(I7:I8)</f>
        <v>42360898</v>
      </c>
      <c r="J9" s="142"/>
      <c r="K9" s="116"/>
    </row>
    <row r="10" spans="1:12" ht="12.75" customHeight="1" x14ac:dyDescent="0.25">
      <c r="A10" s="3"/>
      <c r="B10" s="3"/>
      <c r="C10" s="3"/>
      <c r="D10" s="3"/>
      <c r="E10" s="3"/>
      <c r="F10" s="3"/>
      <c r="G10" s="3"/>
      <c r="H10" s="3"/>
      <c r="I10" s="22"/>
      <c r="J10" s="37"/>
      <c r="K10" s="49"/>
    </row>
    <row r="11" spans="1:12" x14ac:dyDescent="0.25">
      <c r="A11" s="529" t="s">
        <v>28</v>
      </c>
      <c r="B11" s="30" t="s">
        <v>38</v>
      </c>
      <c r="C11" s="60" t="s">
        <v>34</v>
      </c>
      <c r="D11" s="59" t="s">
        <v>34</v>
      </c>
      <c r="E11" s="533" t="s">
        <v>40</v>
      </c>
      <c r="F11" s="534"/>
      <c r="G11" s="534"/>
      <c r="H11" s="535"/>
      <c r="I11" s="529" t="s">
        <v>31</v>
      </c>
      <c r="J11" s="529" t="s">
        <v>29</v>
      </c>
      <c r="K11" s="60" t="s">
        <v>56</v>
      </c>
    </row>
    <row r="12" spans="1:12" x14ac:dyDescent="0.25">
      <c r="A12" s="530"/>
      <c r="B12" s="61" t="s">
        <v>39</v>
      </c>
      <c r="C12" s="61" t="s">
        <v>36</v>
      </c>
      <c r="D12" s="61" t="s">
        <v>35</v>
      </c>
      <c r="E12" s="533" t="s">
        <v>33</v>
      </c>
      <c r="F12" s="535"/>
      <c r="G12" s="533" t="s">
        <v>32</v>
      </c>
      <c r="H12" s="535"/>
      <c r="I12" s="530"/>
      <c r="J12" s="530"/>
      <c r="K12" s="61" t="s">
        <v>57</v>
      </c>
    </row>
    <row r="13" spans="1:12" ht="15" customHeight="1" x14ac:dyDescent="0.25">
      <c r="A13" s="89">
        <v>42748</v>
      </c>
      <c r="B13" s="263" t="s">
        <v>180</v>
      </c>
      <c r="C13" s="91">
        <v>43</v>
      </c>
      <c r="D13" s="91">
        <v>38</v>
      </c>
      <c r="E13" s="44" t="s">
        <v>181</v>
      </c>
      <c r="F13" s="66"/>
      <c r="G13" t="s">
        <v>149</v>
      </c>
      <c r="H13" s="87"/>
      <c r="I13" s="79">
        <v>132230</v>
      </c>
      <c r="J13" s="79">
        <v>132230</v>
      </c>
      <c r="K13" s="28">
        <f t="shared" ref="K13:K76" si="0">+I13-J13</f>
        <v>0</v>
      </c>
      <c r="L13"/>
    </row>
    <row r="14" spans="1:12" x14ac:dyDescent="0.25">
      <c r="A14" s="89">
        <v>42767</v>
      </c>
      <c r="B14" s="263" t="s">
        <v>202</v>
      </c>
      <c r="C14" s="266">
        <v>43</v>
      </c>
      <c r="D14" s="266">
        <v>137</v>
      </c>
      <c r="E14" s="44" t="s">
        <v>207</v>
      </c>
      <c r="F14" s="66"/>
      <c r="G14" t="s">
        <v>149</v>
      </c>
      <c r="H14" s="87"/>
      <c r="I14" s="79">
        <v>26771941</v>
      </c>
      <c r="J14" s="79">
        <v>26771941</v>
      </c>
      <c r="K14" s="28">
        <f t="shared" si="0"/>
        <v>0</v>
      </c>
      <c r="L14"/>
    </row>
    <row r="15" spans="1:12" x14ac:dyDescent="0.25">
      <c r="A15" s="89">
        <v>42767</v>
      </c>
      <c r="B15" s="263" t="s">
        <v>182</v>
      </c>
      <c r="C15" s="91">
        <v>43</v>
      </c>
      <c r="D15" s="91">
        <v>143</v>
      </c>
      <c r="E15" s="44" t="s">
        <v>208</v>
      </c>
      <c r="F15" s="66"/>
      <c r="G15" s="65" t="s">
        <v>149</v>
      </c>
      <c r="H15" s="87"/>
      <c r="I15" s="79">
        <v>19420380</v>
      </c>
      <c r="J15" s="79">
        <v>19420380</v>
      </c>
      <c r="K15" s="28">
        <f t="shared" si="0"/>
        <v>0</v>
      </c>
      <c r="L15"/>
    </row>
    <row r="16" spans="1:12" x14ac:dyDescent="0.25">
      <c r="A16" s="89">
        <v>42779</v>
      </c>
      <c r="B16" s="263" t="s">
        <v>203</v>
      </c>
      <c r="C16" s="91">
        <v>43</v>
      </c>
      <c r="D16" s="91">
        <v>204</v>
      </c>
      <c r="E16" s="44" t="s">
        <v>449</v>
      </c>
      <c r="F16" s="66"/>
      <c r="G16" s="65" t="s">
        <v>149</v>
      </c>
      <c r="H16" s="87"/>
      <c r="I16" s="79">
        <v>1048770</v>
      </c>
      <c r="J16" s="79">
        <v>1048770</v>
      </c>
      <c r="K16" s="28">
        <f t="shared" si="0"/>
        <v>0</v>
      </c>
      <c r="L16"/>
    </row>
    <row r="17" spans="1:12" x14ac:dyDescent="0.25">
      <c r="A17" s="89">
        <v>42780</v>
      </c>
      <c r="B17" s="263" t="s">
        <v>204</v>
      </c>
      <c r="C17" s="91">
        <v>43</v>
      </c>
      <c r="D17" s="91">
        <v>207</v>
      </c>
      <c r="E17" s="44" t="s">
        <v>209</v>
      </c>
      <c r="F17" s="66"/>
      <c r="G17" s="65" t="s">
        <v>149</v>
      </c>
      <c r="H17" s="87"/>
      <c r="I17" s="79">
        <v>66990</v>
      </c>
      <c r="J17" s="79">
        <v>66990</v>
      </c>
      <c r="K17" s="28">
        <f t="shared" si="0"/>
        <v>0</v>
      </c>
      <c r="L17"/>
    </row>
    <row r="18" spans="1:12" x14ac:dyDescent="0.25">
      <c r="A18" s="89">
        <v>42783</v>
      </c>
      <c r="B18" s="263" t="s">
        <v>205</v>
      </c>
      <c r="C18" s="91">
        <v>43</v>
      </c>
      <c r="D18" s="91">
        <v>225</v>
      </c>
      <c r="E18" s="44" t="s">
        <v>450</v>
      </c>
      <c r="F18" s="66"/>
      <c r="G18" s="65" t="s">
        <v>149</v>
      </c>
      <c r="H18" s="87"/>
      <c r="I18" s="79">
        <v>283810</v>
      </c>
      <c r="J18" s="79">
        <v>283810</v>
      </c>
      <c r="K18" s="28">
        <f t="shared" si="0"/>
        <v>0</v>
      </c>
      <c r="L18"/>
    </row>
    <row r="19" spans="1:12" x14ac:dyDescent="0.25">
      <c r="A19" s="89">
        <v>42786</v>
      </c>
      <c r="B19" s="263" t="s">
        <v>206</v>
      </c>
      <c r="C19" s="91">
        <v>43</v>
      </c>
      <c r="D19" s="91">
        <v>244</v>
      </c>
      <c r="E19" s="44" t="s">
        <v>456</v>
      </c>
      <c r="F19" s="66"/>
      <c r="G19" s="65" t="s">
        <v>149</v>
      </c>
      <c r="H19" s="87"/>
      <c r="I19" s="79">
        <v>269350</v>
      </c>
      <c r="J19" s="79">
        <v>269350</v>
      </c>
      <c r="K19" s="28">
        <f t="shared" si="0"/>
        <v>0</v>
      </c>
      <c r="L19"/>
    </row>
    <row r="20" spans="1:12" x14ac:dyDescent="0.25">
      <c r="A20" s="89">
        <v>42795</v>
      </c>
      <c r="B20" s="263" t="s">
        <v>235</v>
      </c>
      <c r="C20" s="91">
        <v>43</v>
      </c>
      <c r="D20" s="91">
        <v>324</v>
      </c>
      <c r="E20" s="44" t="s">
        <v>451</v>
      </c>
      <c r="F20" s="66"/>
      <c r="G20" s="65" t="s">
        <v>149</v>
      </c>
      <c r="H20" s="87"/>
      <c r="I20" s="79">
        <v>142000</v>
      </c>
      <c r="J20" s="79">
        <v>142000</v>
      </c>
      <c r="K20" s="28">
        <f t="shared" si="0"/>
        <v>0</v>
      </c>
      <c r="L20"/>
    </row>
    <row r="21" spans="1:12" x14ac:dyDescent="0.25">
      <c r="A21" s="89">
        <v>42797</v>
      </c>
      <c r="B21" s="263" t="s">
        <v>236</v>
      </c>
      <c r="C21" s="91">
        <v>43</v>
      </c>
      <c r="D21" s="91">
        <v>339</v>
      </c>
      <c r="E21" s="44" t="s">
        <v>452</v>
      </c>
      <c r="F21" s="66"/>
      <c r="G21" s="65" t="s">
        <v>149</v>
      </c>
      <c r="H21" s="87"/>
      <c r="I21" s="79">
        <v>736910</v>
      </c>
      <c r="J21" s="79">
        <v>736910</v>
      </c>
      <c r="K21" s="28">
        <f t="shared" si="0"/>
        <v>0</v>
      </c>
      <c r="L21"/>
    </row>
    <row r="22" spans="1:12" x14ac:dyDescent="0.25">
      <c r="A22" s="89">
        <v>42800</v>
      </c>
      <c r="B22" s="263" t="s">
        <v>237</v>
      </c>
      <c r="C22" s="91">
        <v>43</v>
      </c>
      <c r="D22" s="91">
        <v>343</v>
      </c>
      <c r="E22" s="44" t="s">
        <v>455</v>
      </c>
      <c r="F22" s="66"/>
      <c r="G22" s="65" t="s">
        <v>149</v>
      </c>
      <c r="H22" s="87"/>
      <c r="I22" s="79">
        <v>561740</v>
      </c>
      <c r="J22" s="79">
        <v>561740</v>
      </c>
      <c r="K22" s="28">
        <f t="shared" si="0"/>
        <v>0</v>
      </c>
      <c r="L22"/>
    </row>
    <row r="23" spans="1:12" x14ac:dyDescent="0.25">
      <c r="A23" s="89">
        <v>42801</v>
      </c>
      <c r="B23" s="263" t="s">
        <v>238</v>
      </c>
      <c r="C23" s="91">
        <v>43</v>
      </c>
      <c r="D23" s="91">
        <v>361</v>
      </c>
      <c r="E23" s="44" t="s">
        <v>453</v>
      </c>
      <c r="F23" s="66"/>
      <c r="G23" s="65" t="s">
        <v>149</v>
      </c>
      <c r="H23" s="87"/>
      <c r="I23" s="79">
        <v>45400</v>
      </c>
      <c r="J23" s="79">
        <v>45400</v>
      </c>
      <c r="K23" s="28">
        <f t="shared" si="0"/>
        <v>0</v>
      </c>
      <c r="L23"/>
    </row>
    <row r="24" spans="1:12" x14ac:dyDescent="0.25">
      <c r="A24" s="89">
        <v>42807</v>
      </c>
      <c r="B24" s="263" t="s">
        <v>239</v>
      </c>
      <c r="C24" s="91">
        <v>43</v>
      </c>
      <c r="D24" s="91">
        <v>394</v>
      </c>
      <c r="E24" s="44" t="s">
        <v>454</v>
      </c>
      <c r="F24" s="66"/>
      <c r="G24" s="65" t="s">
        <v>149</v>
      </c>
      <c r="H24" s="87"/>
      <c r="I24" s="79">
        <v>295810</v>
      </c>
      <c r="J24" s="79">
        <v>295810</v>
      </c>
      <c r="K24" s="28">
        <f t="shared" si="0"/>
        <v>0</v>
      </c>
      <c r="L24"/>
    </row>
    <row r="25" spans="1:12" x14ac:dyDescent="0.25">
      <c r="A25" s="89">
        <v>42810</v>
      </c>
      <c r="B25" s="263" t="s">
        <v>283</v>
      </c>
      <c r="C25" s="91">
        <v>43</v>
      </c>
      <c r="D25" s="91">
        <v>416</v>
      </c>
      <c r="E25" s="44" t="s">
        <v>457</v>
      </c>
      <c r="F25" s="66"/>
      <c r="G25" s="65" t="s">
        <v>149</v>
      </c>
      <c r="H25" s="87"/>
      <c r="I25" s="79">
        <v>1131200</v>
      </c>
      <c r="J25" s="79">
        <v>1131200</v>
      </c>
      <c r="K25" s="28">
        <f t="shared" si="0"/>
        <v>0</v>
      </c>
      <c r="L25"/>
    </row>
    <row r="26" spans="1:12" x14ac:dyDescent="0.25">
      <c r="A26" s="89">
        <v>42810</v>
      </c>
      <c r="B26" s="263" t="s">
        <v>284</v>
      </c>
      <c r="C26" s="91">
        <v>43</v>
      </c>
      <c r="D26" s="91">
        <v>417</v>
      </c>
      <c r="E26" s="44" t="s">
        <v>458</v>
      </c>
      <c r="F26" s="66"/>
      <c r="G26" s="65" t="s">
        <v>149</v>
      </c>
      <c r="H26" s="87"/>
      <c r="I26" s="79">
        <v>24135458</v>
      </c>
      <c r="J26" s="79">
        <v>24135458</v>
      </c>
      <c r="K26" s="28">
        <f t="shared" si="0"/>
        <v>0</v>
      </c>
      <c r="L26"/>
    </row>
    <row r="27" spans="1:12" x14ac:dyDescent="0.25">
      <c r="A27" s="89">
        <v>42811</v>
      </c>
      <c r="B27" s="263" t="s">
        <v>285</v>
      </c>
      <c r="C27" s="91">
        <v>43</v>
      </c>
      <c r="D27" s="91">
        <v>421</v>
      </c>
      <c r="E27" s="44" t="s">
        <v>459</v>
      </c>
      <c r="F27" s="66"/>
      <c r="G27" s="65" t="s">
        <v>149</v>
      </c>
      <c r="H27" s="87"/>
      <c r="I27" s="79">
        <v>1367510</v>
      </c>
      <c r="J27" s="79">
        <v>1367510</v>
      </c>
      <c r="K27" s="28">
        <f t="shared" si="0"/>
        <v>0</v>
      </c>
      <c r="L27"/>
    </row>
    <row r="28" spans="1:12" x14ac:dyDescent="0.25">
      <c r="A28" s="89">
        <v>42818</v>
      </c>
      <c r="B28" s="263" t="s">
        <v>286</v>
      </c>
      <c r="C28" s="91">
        <v>43</v>
      </c>
      <c r="D28" s="91">
        <v>451</v>
      </c>
      <c r="E28" s="44" t="s">
        <v>460</v>
      </c>
      <c r="F28" s="66"/>
      <c r="G28" s="65" t="s">
        <v>149</v>
      </c>
      <c r="H28" s="87"/>
      <c r="I28" s="79">
        <v>22558357</v>
      </c>
      <c r="J28" s="79">
        <v>22558357</v>
      </c>
      <c r="K28" s="28">
        <f t="shared" si="0"/>
        <v>0</v>
      </c>
      <c r="L28"/>
    </row>
    <row r="29" spans="1:12" x14ac:dyDescent="0.25">
      <c r="A29" s="89">
        <v>42821</v>
      </c>
      <c r="B29" s="263" t="s">
        <v>287</v>
      </c>
      <c r="C29" s="91">
        <v>43</v>
      </c>
      <c r="D29" s="91">
        <v>459</v>
      </c>
      <c r="E29" s="44" t="s">
        <v>461</v>
      </c>
      <c r="F29" s="66"/>
      <c r="G29" s="65" t="s">
        <v>149</v>
      </c>
      <c r="H29" s="87"/>
      <c r="I29" s="79">
        <v>1411810</v>
      </c>
      <c r="J29" s="79">
        <v>1411810</v>
      </c>
      <c r="K29" s="28">
        <f t="shared" si="0"/>
        <v>0</v>
      </c>
      <c r="L29"/>
    </row>
    <row r="30" spans="1:12" x14ac:dyDescent="0.25">
      <c r="A30" s="286">
        <v>42824</v>
      </c>
      <c r="B30" s="287" t="s">
        <v>322</v>
      </c>
      <c r="C30" s="163">
        <v>43</v>
      </c>
      <c r="D30" s="163">
        <v>477</v>
      </c>
      <c r="E30" s="44" t="s">
        <v>462</v>
      </c>
      <c r="F30" s="85"/>
      <c r="G30" s="65" t="s">
        <v>149</v>
      </c>
      <c r="H30" s="87"/>
      <c r="I30" s="79">
        <v>573850</v>
      </c>
      <c r="J30" s="79">
        <v>573850</v>
      </c>
      <c r="K30" s="28">
        <f t="shared" si="0"/>
        <v>0</v>
      </c>
      <c r="L30"/>
    </row>
    <row r="31" spans="1:12" x14ac:dyDescent="0.25">
      <c r="A31" s="286">
        <v>42829</v>
      </c>
      <c r="B31" s="287" t="s">
        <v>323</v>
      </c>
      <c r="C31" s="163">
        <v>43</v>
      </c>
      <c r="D31" s="163">
        <v>503</v>
      </c>
      <c r="E31" s="44" t="s">
        <v>463</v>
      </c>
      <c r="F31" s="85"/>
      <c r="G31" s="65" t="s">
        <v>149</v>
      </c>
      <c r="H31" s="87"/>
      <c r="I31" s="79">
        <v>167840</v>
      </c>
      <c r="J31" s="79">
        <v>167840</v>
      </c>
      <c r="K31" s="28">
        <f t="shared" si="0"/>
        <v>0</v>
      </c>
      <c r="L31"/>
    </row>
    <row r="32" spans="1:12" x14ac:dyDescent="0.25">
      <c r="A32" s="286">
        <v>42832</v>
      </c>
      <c r="B32" s="287" t="s">
        <v>324</v>
      </c>
      <c r="C32" s="163">
        <v>43</v>
      </c>
      <c r="D32" s="163">
        <v>514</v>
      </c>
      <c r="E32" s="44" t="s">
        <v>464</v>
      </c>
      <c r="F32" s="85"/>
      <c r="G32" s="65" t="s">
        <v>149</v>
      </c>
      <c r="H32" s="87"/>
      <c r="I32" s="79">
        <v>87760</v>
      </c>
      <c r="J32" s="79">
        <v>87760</v>
      </c>
      <c r="K32" s="28">
        <f t="shared" si="0"/>
        <v>0</v>
      </c>
      <c r="L32"/>
    </row>
    <row r="33" spans="1:12" x14ac:dyDescent="0.25">
      <c r="A33" s="286">
        <v>42836</v>
      </c>
      <c r="B33" s="287" t="s">
        <v>325</v>
      </c>
      <c r="C33" s="163">
        <v>43</v>
      </c>
      <c r="D33" s="163">
        <v>528</v>
      </c>
      <c r="E33" s="44" t="s">
        <v>465</v>
      </c>
      <c r="F33" s="85"/>
      <c r="G33" s="65" t="s">
        <v>149</v>
      </c>
      <c r="H33" s="87"/>
      <c r="I33" s="79">
        <v>1262250</v>
      </c>
      <c r="J33" s="79">
        <v>1262250</v>
      </c>
      <c r="K33" s="28">
        <f t="shared" si="0"/>
        <v>0</v>
      </c>
      <c r="L33"/>
    </row>
    <row r="34" spans="1:12" x14ac:dyDescent="0.25">
      <c r="A34" s="286">
        <v>42836</v>
      </c>
      <c r="B34" s="287" t="s">
        <v>326</v>
      </c>
      <c r="C34" s="163">
        <v>43</v>
      </c>
      <c r="D34" s="163">
        <v>531</v>
      </c>
      <c r="E34" s="44" t="s">
        <v>466</v>
      </c>
      <c r="F34" s="85"/>
      <c r="G34" s="65" t="s">
        <v>149</v>
      </c>
      <c r="H34" s="87"/>
      <c r="I34" s="79">
        <v>311710</v>
      </c>
      <c r="J34" s="79">
        <v>311710</v>
      </c>
      <c r="K34" s="28">
        <f t="shared" si="0"/>
        <v>0</v>
      </c>
      <c r="L34"/>
    </row>
    <row r="35" spans="1:12" x14ac:dyDescent="0.25">
      <c r="A35" s="286">
        <v>42845</v>
      </c>
      <c r="B35" s="287" t="s">
        <v>327</v>
      </c>
      <c r="C35" s="163">
        <v>43</v>
      </c>
      <c r="D35" s="163">
        <v>549</v>
      </c>
      <c r="E35" s="44" t="s">
        <v>467</v>
      </c>
      <c r="F35" s="85"/>
      <c r="G35" s="65" t="s">
        <v>149</v>
      </c>
      <c r="H35" s="87"/>
      <c r="I35" s="79">
        <v>749120</v>
      </c>
      <c r="J35" s="79">
        <v>749120</v>
      </c>
      <c r="K35" s="28">
        <f t="shared" si="0"/>
        <v>0</v>
      </c>
      <c r="L35"/>
    </row>
    <row r="36" spans="1:12" x14ac:dyDescent="0.25">
      <c r="A36" s="286">
        <v>42845</v>
      </c>
      <c r="B36" s="287" t="s">
        <v>328</v>
      </c>
      <c r="C36" s="163">
        <v>43</v>
      </c>
      <c r="D36" s="163">
        <v>550</v>
      </c>
      <c r="E36" s="44" t="s">
        <v>468</v>
      </c>
      <c r="F36" s="85"/>
      <c r="G36" s="65" t="s">
        <v>149</v>
      </c>
      <c r="H36" s="87"/>
      <c r="I36" s="79">
        <v>26024673</v>
      </c>
      <c r="J36" s="79">
        <v>26024673</v>
      </c>
      <c r="K36" s="28">
        <f t="shared" si="0"/>
        <v>0</v>
      </c>
      <c r="L36"/>
    </row>
    <row r="37" spans="1:12" x14ac:dyDescent="0.25">
      <c r="A37" s="286">
        <v>42860</v>
      </c>
      <c r="B37" s="287" t="s">
        <v>374</v>
      </c>
      <c r="C37" s="163">
        <v>43</v>
      </c>
      <c r="D37" s="163">
        <v>619</v>
      </c>
      <c r="E37" s="44" t="s">
        <v>469</v>
      </c>
      <c r="F37" s="85"/>
      <c r="G37" s="65" t="s">
        <v>149</v>
      </c>
      <c r="H37" s="87"/>
      <c r="I37" s="79">
        <v>719250</v>
      </c>
      <c r="J37" s="79">
        <v>719250</v>
      </c>
      <c r="K37" s="28">
        <f t="shared" si="0"/>
        <v>0</v>
      </c>
      <c r="L37"/>
    </row>
    <row r="38" spans="1:12" x14ac:dyDescent="0.25">
      <c r="A38" s="286">
        <v>42863</v>
      </c>
      <c r="B38" s="287" t="s">
        <v>375</v>
      </c>
      <c r="C38" s="163">
        <v>43</v>
      </c>
      <c r="D38" s="163">
        <v>637</v>
      </c>
      <c r="E38" s="44" t="s">
        <v>470</v>
      </c>
      <c r="F38" s="85"/>
      <c r="G38" s="65" t="s">
        <v>149</v>
      </c>
      <c r="H38" s="87"/>
      <c r="I38" s="79">
        <v>110540</v>
      </c>
      <c r="J38" s="79">
        <v>110540</v>
      </c>
      <c r="K38" s="28">
        <f t="shared" si="0"/>
        <v>0</v>
      </c>
      <c r="L38"/>
    </row>
    <row r="39" spans="1:12" x14ac:dyDescent="0.25">
      <c r="A39" s="286">
        <v>42863</v>
      </c>
      <c r="B39" s="287" t="s">
        <v>376</v>
      </c>
      <c r="C39" s="163">
        <v>43</v>
      </c>
      <c r="D39" s="163">
        <v>638</v>
      </c>
      <c r="E39" s="44" t="s">
        <v>471</v>
      </c>
      <c r="F39" s="85"/>
      <c r="G39" s="65" t="s">
        <v>149</v>
      </c>
      <c r="H39" s="87"/>
      <c r="I39" s="79">
        <v>50230</v>
      </c>
      <c r="J39" s="79">
        <v>50230</v>
      </c>
      <c r="K39" s="28">
        <f t="shared" si="0"/>
        <v>0</v>
      </c>
      <c r="L39"/>
    </row>
    <row r="40" spans="1:12" x14ac:dyDescent="0.25">
      <c r="A40" s="286">
        <v>42872</v>
      </c>
      <c r="B40" s="287" t="s">
        <v>420</v>
      </c>
      <c r="C40" s="163">
        <v>43</v>
      </c>
      <c r="D40" s="163">
        <v>673</v>
      </c>
      <c r="E40" s="44" t="s">
        <v>424</v>
      </c>
      <c r="F40" s="85"/>
      <c r="G40" s="65" t="s">
        <v>149</v>
      </c>
      <c r="H40" s="87"/>
      <c r="I40" s="79">
        <v>1065880</v>
      </c>
      <c r="J40" s="79">
        <v>1065880</v>
      </c>
      <c r="K40" s="28">
        <f t="shared" si="0"/>
        <v>0</v>
      </c>
      <c r="L40"/>
    </row>
    <row r="41" spans="1:12" x14ac:dyDescent="0.25">
      <c r="A41" s="286">
        <v>42872</v>
      </c>
      <c r="B41" s="287" t="s">
        <v>421</v>
      </c>
      <c r="C41" s="163">
        <v>43</v>
      </c>
      <c r="D41" s="163">
        <v>674</v>
      </c>
      <c r="E41" s="44" t="s">
        <v>472</v>
      </c>
      <c r="F41" s="85"/>
      <c r="G41" s="65" t="s">
        <v>149</v>
      </c>
      <c r="H41" s="87"/>
      <c r="I41" s="79">
        <v>326220</v>
      </c>
      <c r="J41" s="79">
        <v>326220</v>
      </c>
      <c r="K41" s="28">
        <f t="shared" si="0"/>
        <v>0</v>
      </c>
      <c r="L41"/>
    </row>
    <row r="42" spans="1:12" x14ac:dyDescent="0.25">
      <c r="A42" s="286">
        <v>42873</v>
      </c>
      <c r="B42" s="293" t="s">
        <v>422</v>
      </c>
      <c r="C42" s="163">
        <v>43</v>
      </c>
      <c r="D42" s="163">
        <v>681</v>
      </c>
      <c r="E42" s="44" t="s">
        <v>425</v>
      </c>
      <c r="F42" s="85"/>
      <c r="G42" s="65" t="s">
        <v>149</v>
      </c>
      <c r="H42" s="87"/>
      <c r="I42" s="79">
        <v>24843256</v>
      </c>
      <c r="J42" s="79">
        <v>24843256</v>
      </c>
      <c r="K42" s="28">
        <f t="shared" si="0"/>
        <v>0</v>
      </c>
      <c r="L42"/>
    </row>
    <row r="43" spans="1:12" x14ac:dyDescent="0.25">
      <c r="A43" s="109">
        <v>42877</v>
      </c>
      <c r="B43" s="287" t="s">
        <v>423</v>
      </c>
      <c r="C43" s="249">
        <v>43</v>
      </c>
      <c r="D43" s="249">
        <v>698</v>
      </c>
      <c r="E43" s="44" t="s">
        <v>473</v>
      </c>
      <c r="F43" s="85"/>
      <c r="G43" s="65" t="s">
        <v>149</v>
      </c>
      <c r="H43" s="66"/>
      <c r="I43" s="28">
        <v>623770</v>
      </c>
      <c r="J43" s="28">
        <v>623770</v>
      </c>
      <c r="K43" s="28">
        <f t="shared" si="0"/>
        <v>0</v>
      </c>
      <c r="L43"/>
    </row>
    <row r="44" spans="1:12" x14ac:dyDescent="0.25">
      <c r="A44" s="109">
        <v>42891</v>
      </c>
      <c r="B44" s="287" t="s">
        <v>529</v>
      </c>
      <c r="C44" s="249">
        <v>43</v>
      </c>
      <c r="D44" s="249">
        <v>725</v>
      </c>
      <c r="E44" s="44" t="s">
        <v>526</v>
      </c>
      <c r="F44" s="85"/>
      <c r="G44" s="65" t="s">
        <v>149</v>
      </c>
      <c r="H44" s="66"/>
      <c r="I44" s="28">
        <v>644950</v>
      </c>
      <c r="J44" s="28">
        <v>644950</v>
      </c>
      <c r="K44" s="28">
        <f t="shared" si="0"/>
        <v>0</v>
      </c>
      <c r="L44"/>
    </row>
    <row r="45" spans="1:12" x14ac:dyDescent="0.25">
      <c r="A45" s="109">
        <v>42895</v>
      </c>
      <c r="B45" s="287" t="s">
        <v>530</v>
      </c>
      <c r="C45" s="249">
        <v>43</v>
      </c>
      <c r="D45" s="249">
        <v>734</v>
      </c>
      <c r="E45" s="44" t="s">
        <v>527</v>
      </c>
      <c r="F45" s="85"/>
      <c r="G45" s="65" t="s">
        <v>149</v>
      </c>
      <c r="H45" s="66"/>
      <c r="I45" s="28">
        <v>96130</v>
      </c>
      <c r="J45" s="28">
        <v>96130</v>
      </c>
      <c r="K45" s="28">
        <f t="shared" si="0"/>
        <v>0</v>
      </c>
      <c r="L45"/>
    </row>
    <row r="46" spans="1:12" x14ac:dyDescent="0.25">
      <c r="A46" s="109">
        <v>42895</v>
      </c>
      <c r="B46" s="287" t="s">
        <v>531</v>
      </c>
      <c r="C46" s="249">
        <v>43</v>
      </c>
      <c r="D46" s="249">
        <v>736</v>
      </c>
      <c r="E46" s="44" t="s">
        <v>528</v>
      </c>
      <c r="F46" s="85"/>
      <c r="G46" s="65" t="s">
        <v>149</v>
      </c>
      <c r="H46" s="66"/>
      <c r="I46" s="28">
        <v>49210</v>
      </c>
      <c r="J46" s="28">
        <v>49210</v>
      </c>
      <c r="K46" s="28">
        <f t="shared" si="0"/>
        <v>0</v>
      </c>
      <c r="L46"/>
    </row>
    <row r="47" spans="1:12" x14ac:dyDescent="0.25">
      <c r="A47" s="109">
        <v>42902</v>
      </c>
      <c r="B47" s="287" t="s">
        <v>542</v>
      </c>
      <c r="C47" s="249">
        <v>43</v>
      </c>
      <c r="D47" s="249">
        <v>765</v>
      </c>
      <c r="E47" s="44" t="s">
        <v>539</v>
      </c>
      <c r="F47" s="85"/>
      <c r="G47" s="65" t="s">
        <v>149</v>
      </c>
      <c r="H47" s="66"/>
      <c r="I47" s="28">
        <v>1223870</v>
      </c>
      <c r="J47" s="28">
        <v>1223870</v>
      </c>
      <c r="K47" s="28">
        <f t="shared" si="0"/>
        <v>0</v>
      </c>
      <c r="L47"/>
    </row>
    <row r="48" spans="1:12" x14ac:dyDescent="0.25">
      <c r="A48" s="109">
        <v>42902</v>
      </c>
      <c r="B48" s="287" t="s">
        <v>543</v>
      </c>
      <c r="C48" s="249">
        <v>43</v>
      </c>
      <c r="D48" s="249">
        <v>766</v>
      </c>
      <c r="E48" s="44" t="s">
        <v>540</v>
      </c>
      <c r="F48" s="85"/>
      <c r="G48" s="65" t="s">
        <v>149</v>
      </c>
      <c r="H48" s="66"/>
      <c r="I48" s="28">
        <v>360360</v>
      </c>
      <c r="J48" s="28">
        <v>360360</v>
      </c>
      <c r="K48" s="28">
        <f t="shared" si="0"/>
        <v>0</v>
      </c>
      <c r="L48"/>
    </row>
    <row r="49" spans="1:12" x14ac:dyDescent="0.25">
      <c r="A49" s="109">
        <v>42902</v>
      </c>
      <c r="B49" s="287" t="s">
        <v>544</v>
      </c>
      <c r="C49" s="249">
        <v>43</v>
      </c>
      <c r="D49" s="249">
        <v>770</v>
      </c>
      <c r="E49" s="285" t="s">
        <v>541</v>
      </c>
      <c r="F49" s="85"/>
      <c r="G49" s="65" t="s">
        <v>149</v>
      </c>
      <c r="H49" s="66"/>
      <c r="I49" s="28">
        <v>23268871</v>
      </c>
      <c r="J49" s="28">
        <v>23268871</v>
      </c>
      <c r="K49" s="28">
        <f t="shared" si="0"/>
        <v>0</v>
      </c>
      <c r="L49"/>
    </row>
    <row r="50" spans="1:12" x14ac:dyDescent="0.25">
      <c r="A50" s="109">
        <v>42926</v>
      </c>
      <c r="B50" s="287" t="s">
        <v>649</v>
      </c>
      <c r="C50" s="249">
        <v>43</v>
      </c>
      <c r="D50" s="249">
        <v>820</v>
      </c>
      <c r="E50" s="285" t="s">
        <v>656</v>
      </c>
      <c r="F50" s="85"/>
      <c r="G50" s="65" t="s">
        <v>149</v>
      </c>
      <c r="H50" s="66"/>
      <c r="I50" s="28">
        <v>763680</v>
      </c>
      <c r="J50" s="28">
        <v>763680</v>
      </c>
      <c r="K50" s="28">
        <f t="shared" si="0"/>
        <v>0</v>
      </c>
      <c r="L50"/>
    </row>
    <row r="51" spans="1:12" x14ac:dyDescent="0.25">
      <c r="A51" s="109">
        <v>42926</v>
      </c>
      <c r="B51" s="287" t="s">
        <v>650</v>
      </c>
      <c r="C51" s="249">
        <v>43</v>
      </c>
      <c r="D51" s="249">
        <v>821</v>
      </c>
      <c r="E51" s="285" t="s">
        <v>657</v>
      </c>
      <c r="F51" s="85"/>
      <c r="G51" s="65" t="s">
        <v>149</v>
      </c>
      <c r="H51" s="66"/>
      <c r="I51" s="28">
        <v>54260</v>
      </c>
      <c r="J51" s="28">
        <v>54260</v>
      </c>
      <c r="K51" s="28">
        <f t="shared" si="0"/>
        <v>0</v>
      </c>
      <c r="L51"/>
    </row>
    <row r="52" spans="1:12" x14ac:dyDescent="0.25">
      <c r="A52" s="109">
        <v>42929</v>
      </c>
      <c r="B52" s="287" t="s">
        <v>651</v>
      </c>
      <c r="C52" s="249">
        <v>43</v>
      </c>
      <c r="D52" s="249">
        <v>834</v>
      </c>
      <c r="E52" s="285" t="s">
        <v>658</v>
      </c>
      <c r="F52" s="85"/>
      <c r="G52" s="65" t="s">
        <v>149</v>
      </c>
      <c r="H52" s="66"/>
      <c r="I52" s="28">
        <v>703700</v>
      </c>
      <c r="J52" s="28">
        <v>703700</v>
      </c>
      <c r="K52" s="28">
        <f t="shared" si="0"/>
        <v>0</v>
      </c>
      <c r="L52"/>
    </row>
    <row r="53" spans="1:12" x14ac:dyDescent="0.25">
      <c r="A53" s="109">
        <v>42930</v>
      </c>
      <c r="B53" s="287" t="s">
        <v>652</v>
      </c>
      <c r="C53" s="249">
        <v>43</v>
      </c>
      <c r="D53" s="249">
        <v>837</v>
      </c>
      <c r="E53" s="285" t="s">
        <v>659</v>
      </c>
      <c r="F53" s="85"/>
      <c r="G53" s="65" t="s">
        <v>149</v>
      </c>
      <c r="H53" s="66"/>
      <c r="I53" s="28">
        <v>1102950</v>
      </c>
      <c r="J53" s="28">
        <v>1102950</v>
      </c>
      <c r="K53" s="28">
        <f t="shared" si="0"/>
        <v>0</v>
      </c>
      <c r="L53"/>
    </row>
    <row r="54" spans="1:12" x14ac:dyDescent="0.25">
      <c r="A54" s="109">
        <v>42937</v>
      </c>
      <c r="B54" s="293" t="s">
        <v>654</v>
      </c>
      <c r="C54" s="249">
        <v>43</v>
      </c>
      <c r="D54" s="249">
        <v>849</v>
      </c>
      <c r="E54" s="285" t="s">
        <v>660</v>
      </c>
      <c r="F54" s="85"/>
      <c r="G54" s="65" t="s">
        <v>149</v>
      </c>
      <c r="H54" s="66"/>
      <c r="I54" s="28">
        <v>589833</v>
      </c>
      <c r="J54" s="28">
        <v>589833</v>
      </c>
      <c r="K54" s="28">
        <f t="shared" si="0"/>
        <v>0</v>
      </c>
      <c r="L54"/>
    </row>
    <row r="55" spans="1:12" x14ac:dyDescent="0.25">
      <c r="A55" s="109">
        <v>42937</v>
      </c>
      <c r="B55" s="293" t="s">
        <v>655</v>
      </c>
      <c r="C55" s="249">
        <v>43</v>
      </c>
      <c r="D55" s="249">
        <v>850</v>
      </c>
      <c r="E55" s="285" t="s">
        <v>661</v>
      </c>
      <c r="F55" s="85"/>
      <c r="G55" s="65" t="s">
        <v>149</v>
      </c>
      <c r="H55" s="66"/>
      <c r="I55" s="28">
        <v>23956067</v>
      </c>
      <c r="J55" s="28">
        <v>23956067</v>
      </c>
      <c r="K55" s="28">
        <f t="shared" si="0"/>
        <v>0</v>
      </c>
      <c r="L55"/>
    </row>
    <row r="56" spans="1:12" x14ac:dyDescent="0.25">
      <c r="A56" s="109">
        <v>42937</v>
      </c>
      <c r="B56" s="293" t="s">
        <v>653</v>
      </c>
      <c r="C56" s="249">
        <v>43</v>
      </c>
      <c r="D56" s="249">
        <v>854</v>
      </c>
      <c r="E56" s="44" t="s">
        <v>662</v>
      </c>
      <c r="F56" s="85"/>
      <c r="G56" s="65" t="s">
        <v>149</v>
      </c>
      <c r="H56" s="66"/>
      <c r="I56" s="28">
        <v>285790</v>
      </c>
      <c r="J56" s="28">
        <v>285790</v>
      </c>
      <c r="K56" s="28">
        <f t="shared" si="0"/>
        <v>0</v>
      </c>
      <c r="L56"/>
    </row>
    <row r="57" spans="1:12" x14ac:dyDescent="0.25">
      <c r="A57" s="109">
        <v>42941</v>
      </c>
      <c r="B57" s="293" t="s">
        <v>682</v>
      </c>
      <c r="C57" s="249">
        <v>43</v>
      </c>
      <c r="D57" s="249">
        <v>860</v>
      </c>
      <c r="E57" s="44" t="s">
        <v>683</v>
      </c>
      <c r="F57" s="85"/>
      <c r="G57" s="65" t="s">
        <v>149</v>
      </c>
      <c r="H57" s="66"/>
      <c r="I57" s="28">
        <v>398090</v>
      </c>
      <c r="J57" s="28">
        <v>398090</v>
      </c>
      <c r="K57" s="28">
        <f t="shared" si="0"/>
        <v>0</v>
      </c>
      <c r="L57"/>
    </row>
    <row r="58" spans="1:12" x14ac:dyDescent="0.25">
      <c r="A58" s="109">
        <v>42950</v>
      </c>
      <c r="B58" s="293" t="s">
        <v>721</v>
      </c>
      <c r="C58" s="249">
        <v>43</v>
      </c>
      <c r="D58" s="249">
        <v>874</v>
      </c>
      <c r="E58" s="44" t="s">
        <v>728</v>
      </c>
      <c r="F58" s="85"/>
      <c r="G58" s="65" t="s">
        <v>149</v>
      </c>
      <c r="H58" s="66"/>
      <c r="I58" s="28">
        <v>1163830</v>
      </c>
      <c r="J58" s="28">
        <v>1163830</v>
      </c>
      <c r="K58" s="28">
        <f t="shared" si="0"/>
        <v>0</v>
      </c>
      <c r="L58"/>
    </row>
    <row r="59" spans="1:12" x14ac:dyDescent="0.25">
      <c r="A59" s="109">
        <v>42958</v>
      </c>
      <c r="B59" s="293" t="s">
        <v>722</v>
      </c>
      <c r="C59" s="249">
        <v>43</v>
      </c>
      <c r="D59" s="249">
        <v>883</v>
      </c>
      <c r="E59" s="44" t="s">
        <v>729</v>
      </c>
      <c r="F59" s="85"/>
      <c r="G59" s="65" t="s">
        <v>149</v>
      </c>
      <c r="H59" s="66"/>
      <c r="I59" s="28">
        <v>54270</v>
      </c>
      <c r="J59" s="28">
        <v>54270</v>
      </c>
      <c r="K59" s="28">
        <f t="shared" si="0"/>
        <v>0</v>
      </c>
      <c r="L59"/>
    </row>
    <row r="60" spans="1:12" x14ac:dyDescent="0.25">
      <c r="A60" s="109">
        <v>42958</v>
      </c>
      <c r="B60" s="293" t="s">
        <v>723</v>
      </c>
      <c r="C60" s="249">
        <v>43</v>
      </c>
      <c r="D60" s="249">
        <v>884</v>
      </c>
      <c r="E60" s="44" t="s">
        <v>730</v>
      </c>
      <c r="F60" s="85"/>
      <c r="G60" s="65" t="s">
        <v>149</v>
      </c>
      <c r="H60" s="66"/>
      <c r="I60" s="28">
        <v>162240</v>
      </c>
      <c r="J60" s="28">
        <v>162240</v>
      </c>
      <c r="K60" s="28">
        <f t="shared" si="0"/>
        <v>0</v>
      </c>
      <c r="L60"/>
    </row>
    <row r="61" spans="1:12" x14ac:dyDescent="0.25">
      <c r="A61" s="109">
        <v>42958</v>
      </c>
      <c r="B61" s="293" t="s">
        <v>724</v>
      </c>
      <c r="C61" s="249">
        <v>43</v>
      </c>
      <c r="D61" s="249">
        <v>885</v>
      </c>
      <c r="E61" s="44" t="s">
        <v>731</v>
      </c>
      <c r="F61" s="85"/>
      <c r="G61" s="65" t="s">
        <v>149</v>
      </c>
      <c r="H61" s="66"/>
      <c r="I61" s="28">
        <v>637010</v>
      </c>
      <c r="J61" s="28">
        <v>637010</v>
      </c>
      <c r="K61" s="28">
        <f t="shared" si="0"/>
        <v>0</v>
      </c>
      <c r="L61"/>
    </row>
    <row r="62" spans="1:12" x14ac:dyDescent="0.25">
      <c r="A62" s="109">
        <v>42958</v>
      </c>
      <c r="B62" s="293" t="s">
        <v>725</v>
      </c>
      <c r="C62" s="249">
        <v>43</v>
      </c>
      <c r="D62" s="249">
        <v>886</v>
      </c>
      <c r="E62" s="44" t="s">
        <v>732</v>
      </c>
      <c r="F62" s="85"/>
      <c r="G62" s="65" t="s">
        <v>149</v>
      </c>
      <c r="H62" s="66"/>
      <c r="I62" s="28">
        <v>1105870</v>
      </c>
      <c r="J62" s="28">
        <v>1105870</v>
      </c>
      <c r="K62" s="28">
        <f t="shared" si="0"/>
        <v>0</v>
      </c>
      <c r="L62"/>
    </row>
    <row r="63" spans="1:12" x14ac:dyDescent="0.25">
      <c r="A63" s="109">
        <v>42965</v>
      </c>
      <c r="B63" s="293" t="s">
        <v>726</v>
      </c>
      <c r="C63" s="249">
        <v>43</v>
      </c>
      <c r="D63" s="249">
        <v>901</v>
      </c>
      <c r="E63" s="44" t="s">
        <v>733</v>
      </c>
      <c r="F63" s="85"/>
      <c r="G63" s="65" t="s">
        <v>149</v>
      </c>
      <c r="H63" s="66"/>
      <c r="I63" s="28">
        <v>308110</v>
      </c>
      <c r="J63" s="28">
        <v>308110</v>
      </c>
      <c r="K63" s="28">
        <f t="shared" si="0"/>
        <v>0</v>
      </c>
      <c r="L63"/>
    </row>
    <row r="64" spans="1:12" x14ac:dyDescent="0.25">
      <c r="A64" s="109">
        <v>42965</v>
      </c>
      <c r="B64" s="293" t="s">
        <v>727</v>
      </c>
      <c r="C64" s="249">
        <v>43</v>
      </c>
      <c r="D64" s="249">
        <v>904</v>
      </c>
      <c r="E64" s="285" t="s">
        <v>734</v>
      </c>
      <c r="F64" s="85"/>
      <c r="G64" s="65" t="s">
        <v>149</v>
      </c>
      <c r="H64" s="66"/>
      <c r="I64" s="28">
        <v>24734673</v>
      </c>
      <c r="J64" s="28">
        <v>24734673</v>
      </c>
      <c r="K64" s="28">
        <f t="shared" si="0"/>
        <v>0</v>
      </c>
      <c r="L64"/>
    </row>
    <row r="65" spans="1:12" x14ac:dyDescent="0.25">
      <c r="A65" s="109">
        <v>42969</v>
      </c>
      <c r="B65" s="293" t="s">
        <v>768</v>
      </c>
      <c r="C65" s="249">
        <v>43</v>
      </c>
      <c r="D65" s="249">
        <v>910</v>
      </c>
      <c r="E65" s="44" t="s">
        <v>769</v>
      </c>
      <c r="F65" s="85"/>
      <c r="G65" s="65" t="s">
        <v>149</v>
      </c>
      <c r="H65" s="66"/>
      <c r="I65" s="28">
        <v>554910</v>
      </c>
      <c r="J65" s="28">
        <v>554910</v>
      </c>
      <c r="K65" s="28">
        <f t="shared" si="0"/>
        <v>0</v>
      </c>
      <c r="L65"/>
    </row>
    <row r="66" spans="1:12" x14ac:dyDescent="0.25">
      <c r="A66" s="109">
        <v>42978</v>
      </c>
      <c r="B66" s="293" t="s">
        <v>805</v>
      </c>
      <c r="C66" s="249">
        <v>43</v>
      </c>
      <c r="D66" s="249">
        <v>939</v>
      </c>
      <c r="E66" s="44" t="s">
        <v>806</v>
      </c>
      <c r="F66" s="85"/>
      <c r="G66" s="65" t="s">
        <v>149</v>
      </c>
      <c r="H66" s="66"/>
      <c r="I66" s="28">
        <v>1797270</v>
      </c>
      <c r="J66" s="28">
        <v>1797270</v>
      </c>
      <c r="K66" s="28">
        <f t="shared" si="0"/>
        <v>0</v>
      </c>
      <c r="L66"/>
    </row>
    <row r="67" spans="1:12" x14ac:dyDescent="0.25">
      <c r="A67" s="109">
        <v>42984</v>
      </c>
      <c r="B67" s="293" t="s">
        <v>810</v>
      </c>
      <c r="C67" s="249">
        <v>43</v>
      </c>
      <c r="D67" s="249">
        <v>959</v>
      </c>
      <c r="E67" s="44" t="s">
        <v>812</v>
      </c>
      <c r="F67" s="85"/>
      <c r="G67" s="65" t="s">
        <v>149</v>
      </c>
      <c r="H67" s="66"/>
      <c r="I67" s="28">
        <v>53550</v>
      </c>
      <c r="J67" s="28">
        <v>53550</v>
      </c>
      <c r="K67" s="28">
        <f t="shared" si="0"/>
        <v>0</v>
      </c>
      <c r="L67"/>
    </row>
    <row r="68" spans="1:12" x14ac:dyDescent="0.25">
      <c r="A68" s="109">
        <v>42984</v>
      </c>
      <c r="B68" s="293" t="s">
        <v>811</v>
      </c>
      <c r="C68" s="249">
        <v>43</v>
      </c>
      <c r="D68" s="249">
        <v>960</v>
      </c>
      <c r="E68" s="503" t="s">
        <v>813</v>
      </c>
      <c r="F68" s="85"/>
      <c r="G68" s="65" t="s">
        <v>149</v>
      </c>
      <c r="H68" s="66"/>
      <c r="I68" s="28">
        <v>70870</v>
      </c>
      <c r="J68" s="28">
        <v>70870</v>
      </c>
      <c r="K68" s="28">
        <f t="shared" si="0"/>
        <v>0</v>
      </c>
      <c r="L68"/>
    </row>
    <row r="69" spans="1:12" x14ac:dyDescent="0.25">
      <c r="A69" s="109">
        <v>42991</v>
      </c>
      <c r="B69" s="293" t="s">
        <v>866</v>
      </c>
      <c r="C69" s="249">
        <v>43</v>
      </c>
      <c r="D69" s="249">
        <v>1035</v>
      </c>
      <c r="E69" s="503" t="s">
        <v>867</v>
      </c>
      <c r="F69" s="85"/>
      <c r="G69" s="65" t="s">
        <v>149</v>
      </c>
      <c r="H69" s="66"/>
      <c r="I69" s="28">
        <v>271010</v>
      </c>
      <c r="J69" s="28">
        <v>271010</v>
      </c>
      <c r="K69" s="28">
        <f t="shared" si="0"/>
        <v>0</v>
      </c>
      <c r="L69"/>
    </row>
    <row r="70" spans="1:12" x14ac:dyDescent="0.25">
      <c r="A70" s="109">
        <v>42997</v>
      </c>
      <c r="B70" s="293" t="s">
        <v>969</v>
      </c>
      <c r="C70" s="249">
        <v>43</v>
      </c>
      <c r="D70" s="249">
        <v>1051</v>
      </c>
      <c r="E70" s="503" t="s">
        <v>972</v>
      </c>
      <c r="F70" s="85"/>
      <c r="G70" s="65" t="s">
        <v>149</v>
      </c>
      <c r="H70" s="66"/>
      <c r="I70" s="28">
        <v>593250</v>
      </c>
      <c r="J70" s="28">
        <v>593250</v>
      </c>
      <c r="K70" s="28">
        <f t="shared" si="0"/>
        <v>0</v>
      </c>
      <c r="L70"/>
    </row>
    <row r="71" spans="1:12" x14ac:dyDescent="0.25">
      <c r="A71" s="109">
        <v>42997</v>
      </c>
      <c r="B71" s="293" t="s">
        <v>970</v>
      </c>
      <c r="C71" s="249">
        <v>43</v>
      </c>
      <c r="D71" s="249">
        <v>1052</v>
      </c>
      <c r="E71" s="503" t="s">
        <v>973</v>
      </c>
      <c r="F71" s="85"/>
      <c r="G71" s="65" t="s">
        <v>149</v>
      </c>
      <c r="H71" s="66"/>
      <c r="I71" s="28">
        <v>356110</v>
      </c>
      <c r="J71" s="28">
        <v>356110</v>
      </c>
      <c r="K71" s="28">
        <f t="shared" si="0"/>
        <v>0</v>
      </c>
      <c r="L71"/>
    </row>
    <row r="72" spans="1:12" x14ac:dyDescent="0.25">
      <c r="A72" s="109">
        <v>42997</v>
      </c>
      <c r="B72" s="293" t="s">
        <v>971</v>
      </c>
      <c r="C72" s="249">
        <v>43</v>
      </c>
      <c r="D72" s="249">
        <v>1053</v>
      </c>
      <c r="E72" s="503" t="s">
        <v>974</v>
      </c>
      <c r="F72" s="85"/>
      <c r="G72" s="65" t="s">
        <v>149</v>
      </c>
      <c r="H72" s="66"/>
      <c r="I72" s="28">
        <v>24338015</v>
      </c>
      <c r="J72" s="28">
        <v>24338015</v>
      </c>
      <c r="K72" s="28">
        <f t="shared" si="0"/>
        <v>0</v>
      </c>
      <c r="L72"/>
    </row>
    <row r="73" spans="1:12" x14ac:dyDescent="0.25">
      <c r="A73" s="109">
        <v>43012</v>
      </c>
      <c r="B73" s="293" t="s">
        <v>1058</v>
      </c>
      <c r="C73" s="249">
        <v>43</v>
      </c>
      <c r="D73" s="249">
        <v>1136</v>
      </c>
      <c r="E73" s="503" t="s">
        <v>1060</v>
      </c>
      <c r="F73" s="85"/>
      <c r="G73" s="65" t="s">
        <v>149</v>
      </c>
      <c r="H73" s="66"/>
      <c r="I73" s="28">
        <v>40680</v>
      </c>
      <c r="J73" s="28">
        <v>40680</v>
      </c>
      <c r="K73" s="28">
        <f t="shared" si="0"/>
        <v>0</v>
      </c>
      <c r="L73"/>
    </row>
    <row r="74" spans="1:12" x14ac:dyDescent="0.25">
      <c r="A74" s="109">
        <v>43014</v>
      </c>
      <c r="B74" s="293" t="s">
        <v>1059</v>
      </c>
      <c r="C74" s="249">
        <v>43</v>
      </c>
      <c r="D74" s="249">
        <v>1140</v>
      </c>
      <c r="E74" s="503" t="s">
        <v>1061</v>
      </c>
      <c r="F74" s="85"/>
      <c r="G74" s="65" t="s">
        <v>149</v>
      </c>
      <c r="H74" s="66"/>
      <c r="I74" s="28">
        <v>69860</v>
      </c>
      <c r="J74" s="28">
        <v>69860</v>
      </c>
      <c r="K74" s="28">
        <f t="shared" si="0"/>
        <v>0</v>
      </c>
      <c r="L74"/>
    </row>
    <row r="75" spans="1:12" x14ac:dyDescent="0.25">
      <c r="A75" s="109">
        <v>43020</v>
      </c>
      <c r="B75" s="293" t="s">
        <v>1086</v>
      </c>
      <c r="C75" s="249">
        <v>43</v>
      </c>
      <c r="D75" s="249">
        <v>1152</v>
      </c>
      <c r="E75" s="503" t="s">
        <v>1093</v>
      </c>
      <c r="F75" s="85"/>
      <c r="G75" s="65" t="s">
        <v>149</v>
      </c>
      <c r="H75" s="66"/>
      <c r="I75" s="28">
        <v>67450</v>
      </c>
      <c r="J75" s="28">
        <v>67450</v>
      </c>
      <c r="K75" s="28">
        <f t="shared" si="0"/>
        <v>0</v>
      </c>
      <c r="L75"/>
    </row>
    <row r="76" spans="1:12" x14ac:dyDescent="0.25">
      <c r="A76" s="109">
        <v>43020</v>
      </c>
      <c r="B76" s="293" t="s">
        <v>1087</v>
      </c>
      <c r="C76" s="249">
        <v>43</v>
      </c>
      <c r="D76" s="249">
        <v>1153</v>
      </c>
      <c r="E76" s="503" t="s">
        <v>1094</v>
      </c>
      <c r="F76" s="85"/>
      <c r="G76" s="65" t="s">
        <v>149</v>
      </c>
      <c r="H76" s="66"/>
      <c r="I76" s="28">
        <v>1337710</v>
      </c>
      <c r="J76" s="28">
        <v>1337710</v>
      </c>
      <c r="K76" s="28">
        <f t="shared" si="0"/>
        <v>0</v>
      </c>
      <c r="L76"/>
    </row>
    <row r="77" spans="1:12" x14ac:dyDescent="0.25">
      <c r="A77" s="109">
        <v>43021</v>
      </c>
      <c r="B77" s="293" t="s">
        <v>1088</v>
      </c>
      <c r="C77" s="249">
        <v>43</v>
      </c>
      <c r="D77" s="249">
        <v>1156</v>
      </c>
      <c r="E77" s="503" t="s">
        <v>1095</v>
      </c>
      <c r="F77" s="85"/>
      <c r="G77" s="65" t="s">
        <v>149</v>
      </c>
      <c r="H77" s="66"/>
      <c r="I77" s="28">
        <v>189200</v>
      </c>
      <c r="J77" s="28">
        <v>189200</v>
      </c>
      <c r="K77" s="28">
        <f t="shared" ref="K77:K87" si="1">+I77-J77</f>
        <v>0</v>
      </c>
      <c r="L77"/>
    </row>
    <row r="78" spans="1:12" x14ac:dyDescent="0.25">
      <c r="A78" s="109">
        <v>43026</v>
      </c>
      <c r="B78" s="293" t="s">
        <v>1089</v>
      </c>
      <c r="C78" s="249">
        <v>43</v>
      </c>
      <c r="D78" s="249">
        <v>1164</v>
      </c>
      <c r="E78" s="503" t="s">
        <v>1096</v>
      </c>
      <c r="F78" s="85"/>
      <c r="G78" s="65" t="s">
        <v>149</v>
      </c>
      <c r="H78" s="66"/>
      <c r="I78" s="28">
        <v>2678780</v>
      </c>
      <c r="J78" s="28">
        <v>2678780</v>
      </c>
      <c r="K78" s="28">
        <f t="shared" si="1"/>
        <v>0</v>
      </c>
      <c r="L78"/>
    </row>
    <row r="79" spans="1:12" x14ac:dyDescent="0.25">
      <c r="A79" s="109">
        <v>43031</v>
      </c>
      <c r="B79" s="293" t="s">
        <v>1090</v>
      </c>
      <c r="C79" s="249">
        <v>43</v>
      </c>
      <c r="D79" s="249">
        <v>1187</v>
      </c>
      <c r="E79" s="503" t="s">
        <v>1097</v>
      </c>
      <c r="F79" s="85"/>
      <c r="G79" s="65" t="s">
        <v>149</v>
      </c>
      <c r="H79" s="66"/>
      <c r="I79" s="28">
        <v>643850</v>
      </c>
      <c r="J79" s="28">
        <v>643850</v>
      </c>
      <c r="K79" s="28">
        <f t="shared" si="1"/>
        <v>0</v>
      </c>
      <c r="L79"/>
    </row>
    <row r="80" spans="1:12" x14ac:dyDescent="0.25">
      <c r="A80" s="109">
        <v>43031</v>
      </c>
      <c r="B80" s="293" t="s">
        <v>1091</v>
      </c>
      <c r="C80" s="249">
        <v>43</v>
      </c>
      <c r="D80" s="249">
        <v>1192</v>
      </c>
      <c r="E80" s="503" t="s">
        <v>1098</v>
      </c>
      <c r="F80" s="85"/>
      <c r="G80" s="65" t="s">
        <v>149</v>
      </c>
      <c r="H80" s="66"/>
      <c r="I80" s="28">
        <v>360360</v>
      </c>
      <c r="J80" s="28">
        <v>360360</v>
      </c>
      <c r="K80" s="28">
        <f t="shared" si="1"/>
        <v>0</v>
      </c>
      <c r="L80"/>
    </row>
    <row r="81" spans="1:12" x14ac:dyDescent="0.25">
      <c r="A81" s="109">
        <v>43032</v>
      </c>
      <c r="B81" s="293" t="s">
        <v>1092</v>
      </c>
      <c r="C81" s="249">
        <v>43</v>
      </c>
      <c r="D81" s="249">
        <v>1198</v>
      </c>
      <c r="E81" s="503" t="s">
        <v>1099</v>
      </c>
      <c r="F81" s="85"/>
      <c r="G81" s="65" t="s">
        <v>149</v>
      </c>
      <c r="H81" s="66"/>
      <c r="I81" s="28">
        <v>23070010</v>
      </c>
      <c r="J81" s="28">
        <v>23070010</v>
      </c>
      <c r="K81" s="28">
        <f t="shared" si="1"/>
        <v>0</v>
      </c>
      <c r="L81"/>
    </row>
    <row r="82" spans="1:12" x14ac:dyDescent="0.25">
      <c r="A82" s="109">
        <v>43033</v>
      </c>
      <c r="B82" s="293" t="s">
        <v>1144</v>
      </c>
      <c r="C82" s="249">
        <v>43</v>
      </c>
      <c r="D82" s="249">
        <v>1208</v>
      </c>
      <c r="E82" s="503" t="s">
        <v>1145</v>
      </c>
      <c r="F82" s="85"/>
      <c r="G82" s="65" t="s">
        <v>149</v>
      </c>
      <c r="H82" s="66"/>
      <c r="I82" s="28">
        <v>227030</v>
      </c>
      <c r="J82" s="28">
        <v>227030</v>
      </c>
      <c r="K82" s="28">
        <f t="shared" si="1"/>
        <v>0</v>
      </c>
      <c r="L82"/>
    </row>
    <row r="83" spans="1:12" x14ac:dyDescent="0.25">
      <c r="A83" s="109">
        <v>43046</v>
      </c>
      <c r="B83" s="293" t="s">
        <v>1163</v>
      </c>
      <c r="C83" s="249">
        <v>43</v>
      </c>
      <c r="D83" s="249">
        <v>1270</v>
      </c>
      <c r="E83" s="503" t="s">
        <v>1164</v>
      </c>
      <c r="F83" s="85"/>
      <c r="G83" s="65" t="s">
        <v>149</v>
      </c>
      <c r="H83" s="66"/>
      <c r="I83" s="28">
        <v>67210</v>
      </c>
      <c r="J83" s="28">
        <v>67210</v>
      </c>
      <c r="K83" s="28">
        <f t="shared" si="1"/>
        <v>0</v>
      </c>
      <c r="L83"/>
    </row>
    <row r="84" spans="1:12" x14ac:dyDescent="0.25">
      <c r="A84" s="109">
        <v>43053</v>
      </c>
      <c r="B84" s="293" t="s">
        <v>1169</v>
      </c>
      <c r="C84" s="249">
        <v>43</v>
      </c>
      <c r="D84" s="249">
        <v>1294</v>
      </c>
      <c r="E84" s="503" t="s">
        <v>1170</v>
      </c>
      <c r="F84" s="85"/>
      <c r="G84" s="65" t="s">
        <v>149</v>
      </c>
      <c r="H84" s="66"/>
      <c r="I84" s="28">
        <v>69630</v>
      </c>
      <c r="J84" s="28">
        <v>69630</v>
      </c>
      <c r="K84" s="28">
        <f t="shared" si="1"/>
        <v>0</v>
      </c>
      <c r="L84"/>
    </row>
    <row r="85" spans="1:12" x14ac:dyDescent="0.25">
      <c r="A85" s="109">
        <v>43055</v>
      </c>
      <c r="B85" s="293" t="s">
        <v>1185</v>
      </c>
      <c r="C85" s="249">
        <v>43</v>
      </c>
      <c r="D85" s="249">
        <v>1299</v>
      </c>
      <c r="E85" s="503" t="s">
        <v>1188</v>
      </c>
      <c r="F85" s="85"/>
      <c r="G85" s="65" t="s">
        <v>149</v>
      </c>
      <c r="H85" s="66"/>
      <c r="I85" s="28">
        <v>363630</v>
      </c>
      <c r="J85" s="28">
        <v>363630</v>
      </c>
      <c r="K85" s="28">
        <f t="shared" si="1"/>
        <v>0</v>
      </c>
      <c r="L85"/>
    </row>
    <row r="86" spans="1:12" x14ac:dyDescent="0.25">
      <c r="A86" s="109">
        <v>43060</v>
      </c>
      <c r="B86" s="293" t="s">
        <v>1186</v>
      </c>
      <c r="C86" s="249">
        <v>43</v>
      </c>
      <c r="D86" s="249">
        <v>1314</v>
      </c>
      <c r="E86" s="503" t="s">
        <v>1189</v>
      </c>
      <c r="F86" s="85"/>
      <c r="G86" s="65" t="s">
        <v>149</v>
      </c>
      <c r="H86" s="66"/>
      <c r="I86" s="28">
        <v>604510</v>
      </c>
      <c r="J86" s="28">
        <v>604510</v>
      </c>
      <c r="K86" s="28">
        <f t="shared" si="1"/>
        <v>0</v>
      </c>
      <c r="L86"/>
    </row>
    <row r="87" spans="1:12" x14ac:dyDescent="0.25">
      <c r="A87" s="109">
        <v>43060</v>
      </c>
      <c r="B87" s="293" t="s">
        <v>1187</v>
      </c>
      <c r="C87" s="249">
        <v>43</v>
      </c>
      <c r="D87" s="249">
        <v>1315</v>
      </c>
      <c r="E87" s="503" t="s">
        <v>1190</v>
      </c>
      <c r="F87" s="85"/>
      <c r="G87" s="65" t="s">
        <v>149</v>
      </c>
      <c r="H87" s="66"/>
      <c r="I87" s="28">
        <v>26823879</v>
      </c>
      <c r="J87" s="28">
        <v>26823879</v>
      </c>
      <c r="K87" s="28">
        <f t="shared" si="1"/>
        <v>0</v>
      </c>
      <c r="L87"/>
    </row>
    <row r="88" spans="1:12" x14ac:dyDescent="0.25">
      <c r="A88" s="109"/>
      <c r="B88" s="247"/>
      <c r="C88" s="248"/>
      <c r="D88" s="248"/>
      <c r="E88" s="53"/>
      <c r="F88" s="85"/>
      <c r="G88" s="247"/>
      <c r="H88" s="66"/>
      <c r="I88" s="28"/>
      <c r="J88" s="28"/>
      <c r="K88" s="28"/>
      <c r="L88"/>
    </row>
    <row r="89" spans="1:12" x14ac:dyDescent="0.25">
      <c r="A89" s="55"/>
      <c r="B89" s="56"/>
      <c r="C89" s="56"/>
      <c r="D89" s="56"/>
      <c r="E89" s="56"/>
      <c r="F89" s="56"/>
      <c r="G89" s="527" t="s">
        <v>132</v>
      </c>
      <c r="H89" s="528"/>
      <c r="I89" s="83">
        <f>SUM(I13:I88)</f>
        <v>323608553</v>
      </c>
      <c r="J89" s="83">
        <f>SUM(J13:J88)</f>
        <v>323608553</v>
      </c>
      <c r="K89" s="83">
        <f>SUM(K13:K88)</f>
        <v>0</v>
      </c>
    </row>
    <row r="90" spans="1:12" ht="12.75" customHeight="1" x14ac:dyDescent="0.25">
      <c r="A90" s="3"/>
      <c r="B90" s="3"/>
      <c r="C90" s="3"/>
      <c r="D90" s="3"/>
      <c r="E90" s="3"/>
      <c r="F90" s="3"/>
      <c r="G90" s="3"/>
      <c r="H90" s="3"/>
      <c r="I90" s="22"/>
      <c r="J90" s="177"/>
      <c r="K90" s="56"/>
    </row>
    <row r="91" spans="1:12" ht="24.95" customHeight="1" x14ac:dyDescent="0.25">
      <c r="A91" s="31" t="s">
        <v>58</v>
      </c>
      <c r="B91" s="31" t="s">
        <v>133</v>
      </c>
      <c r="C91" s="31" t="s">
        <v>30</v>
      </c>
      <c r="D91" s="32" t="s">
        <v>59</v>
      </c>
      <c r="E91" s="31" t="s">
        <v>40</v>
      </c>
      <c r="F91" s="31" t="s">
        <v>62</v>
      </c>
      <c r="G91" s="31" t="s">
        <v>37</v>
      </c>
      <c r="H91" s="31" t="s">
        <v>60</v>
      </c>
      <c r="I91" s="31" t="s">
        <v>61</v>
      </c>
      <c r="J91" s="31" t="s">
        <v>99</v>
      </c>
      <c r="K91" s="31" t="s">
        <v>68</v>
      </c>
    </row>
    <row r="92" spans="1:12" ht="24.95" customHeight="1" x14ac:dyDescent="0.25">
      <c r="A92" s="95">
        <v>609800000</v>
      </c>
      <c r="B92" s="95">
        <v>-242648700</v>
      </c>
      <c r="C92" s="95">
        <v>0</v>
      </c>
      <c r="D92" s="82">
        <f>+A92+B92-C92</f>
        <v>367151300</v>
      </c>
      <c r="E92" s="82">
        <f>+I89</f>
        <v>323608553</v>
      </c>
      <c r="F92" s="72">
        <f>+E92/D92</f>
        <v>0.88140380546112729</v>
      </c>
      <c r="G92" s="82">
        <f>+I9</f>
        <v>42360898</v>
      </c>
      <c r="H92" s="82">
        <f>+D92-E92-G92</f>
        <v>1181849</v>
      </c>
      <c r="I92" s="82">
        <f>+J89</f>
        <v>323608553</v>
      </c>
      <c r="J92" s="73">
        <f>+I92/D92</f>
        <v>0.88140380546112729</v>
      </c>
      <c r="K92" s="82">
        <f>+K89</f>
        <v>0</v>
      </c>
    </row>
    <row r="93" spans="1:12" x14ac:dyDescent="0.25">
      <c r="A93" s="74">
        <v>1</v>
      </c>
      <c r="B93" s="74">
        <v>2</v>
      </c>
      <c r="C93" s="74">
        <v>3</v>
      </c>
      <c r="D93" s="74" t="s">
        <v>42</v>
      </c>
      <c r="E93" s="74">
        <v>5</v>
      </c>
      <c r="F93" s="74" t="s">
        <v>69</v>
      </c>
      <c r="G93" s="74">
        <v>7</v>
      </c>
      <c r="H93" s="74" t="s">
        <v>70</v>
      </c>
      <c r="I93" s="74">
        <v>9</v>
      </c>
      <c r="J93" s="74" t="s">
        <v>100</v>
      </c>
      <c r="K93" s="74" t="s">
        <v>101</v>
      </c>
    </row>
  </sheetData>
  <mergeCells count="15">
    <mergeCell ref="J11:J12"/>
    <mergeCell ref="I11:I12"/>
    <mergeCell ref="A11:A12"/>
    <mergeCell ref="B5:B6"/>
    <mergeCell ref="D5:D6"/>
    <mergeCell ref="I5:I6"/>
    <mergeCell ref="J5:K6"/>
    <mergeCell ref="A5:A6"/>
    <mergeCell ref="G89:H89"/>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opLeftCell="A37" workbookViewId="0">
      <selection activeCell="A71" sqref="A71"/>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34" t="s">
        <v>111</v>
      </c>
      <c r="B3" s="84" t="s">
        <v>1</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89">
        <v>42747</v>
      </c>
      <c r="B7" s="42" t="s">
        <v>165</v>
      </c>
      <c r="C7" s="43"/>
      <c r="D7" s="50">
        <v>41</v>
      </c>
      <c r="E7" s="42" t="s">
        <v>166</v>
      </c>
      <c r="F7" s="45"/>
      <c r="G7" s="46"/>
      <c r="H7" s="47"/>
      <c r="I7" s="151">
        <f>460400000-8688290-27220-17403-228937-866340-88517-306320-199710-52673-3231270-5460030-19128-154690-98170-286590-5465350-983750-13070990-4559050-149980-328980-55770-275370-21602-19128-144160-264930-1033060-124840-5730740-37880-4409890-168320-20365-19128-158650-6175180-4289120-148990-231120-66870-1037890-134500-283389756-313090-18560-2376060-20365-20365-120080-211930-203140-240930-3412210-110410-5879530-35690600-511650-19128</f>
        <v>59011305</v>
      </c>
      <c r="J7" s="42" t="s">
        <v>196</v>
      </c>
      <c r="K7" s="43"/>
    </row>
    <row r="8" spans="1:11" ht="12.75" customHeight="1" x14ac:dyDescent="0.25">
      <c r="A8" s="48"/>
      <c r="B8" s="53"/>
      <c r="C8" s="54"/>
      <c r="D8" s="44"/>
      <c r="E8" s="44"/>
      <c r="F8" s="37"/>
      <c r="G8" s="51"/>
      <c r="H8" s="52"/>
      <c r="I8" s="76"/>
      <c r="J8" s="44"/>
      <c r="K8" s="49"/>
    </row>
    <row r="9" spans="1:11" x14ac:dyDescent="0.25">
      <c r="A9" s="55"/>
      <c r="B9" s="56"/>
      <c r="C9" s="56"/>
      <c r="D9" s="56"/>
      <c r="E9" s="56"/>
      <c r="F9" s="56"/>
      <c r="G9" s="527" t="s">
        <v>132</v>
      </c>
      <c r="H9" s="528"/>
      <c r="I9" s="77">
        <f>SUM(I7:I8)</f>
        <v>59011305</v>
      </c>
      <c r="J9" s="57"/>
      <c r="K9" s="58"/>
    </row>
    <row r="10" spans="1:11" ht="12.75" customHeight="1" x14ac:dyDescent="0.25">
      <c r="A10" s="3"/>
      <c r="B10" s="3"/>
      <c r="C10" s="3"/>
      <c r="D10" s="3"/>
      <c r="E10" s="3"/>
      <c r="F10" s="3"/>
      <c r="G10" s="3"/>
      <c r="H10" s="3"/>
      <c r="I10" s="3"/>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89">
        <v>42748</v>
      </c>
      <c r="B13" s="270" t="s">
        <v>183</v>
      </c>
      <c r="C13" s="64">
        <v>41</v>
      </c>
      <c r="D13" s="64">
        <v>46</v>
      </c>
      <c r="E13" s="42" t="s">
        <v>184</v>
      </c>
      <c r="F13" s="49"/>
      <c r="G13" t="s">
        <v>150</v>
      </c>
      <c r="H13" s="49"/>
      <c r="I13" s="264">
        <v>8688290</v>
      </c>
      <c r="J13" s="262">
        <v>8688290</v>
      </c>
      <c r="K13" s="290">
        <f>+I13-J13</f>
        <v>0</v>
      </c>
    </row>
    <row r="14" spans="1:11" ht="12.75" customHeight="1" x14ac:dyDescent="0.25">
      <c r="A14" s="89">
        <v>42800</v>
      </c>
      <c r="B14" s="270" t="s">
        <v>241</v>
      </c>
      <c r="C14" s="64">
        <v>41</v>
      </c>
      <c r="D14" s="64">
        <v>340</v>
      </c>
      <c r="E14" s="44" t="s">
        <v>474</v>
      </c>
      <c r="F14" s="49"/>
      <c r="G14" s="88" t="s">
        <v>150</v>
      </c>
      <c r="H14" s="49"/>
      <c r="I14" s="264">
        <v>27220</v>
      </c>
      <c r="J14" s="264">
        <v>27220</v>
      </c>
      <c r="K14" s="291">
        <f t="shared" ref="K14:K70" si="0">+I14-J14</f>
        <v>0</v>
      </c>
    </row>
    <row r="15" spans="1:11" ht="12.75" customHeight="1" x14ac:dyDescent="0.25">
      <c r="A15" s="89">
        <v>42800</v>
      </c>
      <c r="B15" s="270" t="s">
        <v>242</v>
      </c>
      <c r="C15" s="64">
        <v>41</v>
      </c>
      <c r="D15" s="64">
        <v>342</v>
      </c>
      <c r="E15" s="44" t="s">
        <v>475</v>
      </c>
      <c r="F15" s="49"/>
      <c r="G15" s="88" t="s">
        <v>240</v>
      </c>
      <c r="H15" s="49"/>
      <c r="I15" s="264">
        <v>17403</v>
      </c>
      <c r="J15" s="264">
        <v>17403</v>
      </c>
      <c r="K15" s="291">
        <f t="shared" si="0"/>
        <v>0</v>
      </c>
    </row>
    <row r="16" spans="1:11" ht="12.75" customHeight="1" x14ac:dyDescent="0.25">
      <c r="A16" s="89">
        <v>42801</v>
      </c>
      <c r="B16" s="270" t="s">
        <v>243</v>
      </c>
      <c r="C16" s="64">
        <v>41</v>
      </c>
      <c r="D16" s="64">
        <v>357</v>
      </c>
      <c r="E16" s="44" t="s">
        <v>476</v>
      </c>
      <c r="F16" s="49"/>
      <c r="G16" s="88" t="s">
        <v>150</v>
      </c>
      <c r="H16" s="49"/>
      <c r="I16" s="264">
        <v>228937</v>
      </c>
      <c r="J16" s="264">
        <v>228937</v>
      </c>
      <c r="K16" s="291">
        <f t="shared" si="0"/>
        <v>0</v>
      </c>
    </row>
    <row r="17" spans="1:11" ht="12.75" customHeight="1" x14ac:dyDescent="0.25">
      <c r="A17" s="89">
        <v>42801</v>
      </c>
      <c r="B17" s="270" t="s">
        <v>244</v>
      </c>
      <c r="C17" s="64">
        <v>41</v>
      </c>
      <c r="D17" s="64">
        <v>358</v>
      </c>
      <c r="E17" s="44" t="s">
        <v>477</v>
      </c>
      <c r="F17" s="49"/>
      <c r="G17" s="88" t="s">
        <v>150</v>
      </c>
      <c r="H17" s="49"/>
      <c r="I17" s="264">
        <v>866340</v>
      </c>
      <c r="J17" s="264">
        <v>866340</v>
      </c>
      <c r="K17" s="291">
        <f t="shared" si="0"/>
        <v>0</v>
      </c>
    </row>
    <row r="18" spans="1:11" ht="12.75" customHeight="1" x14ac:dyDescent="0.25">
      <c r="A18" s="89">
        <v>42801</v>
      </c>
      <c r="B18" s="270" t="s">
        <v>245</v>
      </c>
      <c r="C18" s="64">
        <v>41</v>
      </c>
      <c r="D18" s="64">
        <v>359</v>
      </c>
      <c r="E18" s="44" t="s">
        <v>478</v>
      </c>
      <c r="F18" s="49"/>
      <c r="G18" s="88" t="s">
        <v>150</v>
      </c>
      <c r="H18" s="49"/>
      <c r="I18" s="264">
        <v>88517</v>
      </c>
      <c r="J18" s="264">
        <v>88517</v>
      </c>
      <c r="K18" s="291">
        <f t="shared" si="0"/>
        <v>0</v>
      </c>
    </row>
    <row r="19" spans="1:11" ht="12.75" customHeight="1" x14ac:dyDescent="0.25">
      <c r="A19" s="89">
        <v>42801</v>
      </c>
      <c r="B19" s="270" t="s">
        <v>246</v>
      </c>
      <c r="C19" s="64">
        <v>41</v>
      </c>
      <c r="D19" s="64">
        <v>360</v>
      </c>
      <c r="E19" s="44" t="s">
        <v>479</v>
      </c>
      <c r="F19" s="49"/>
      <c r="G19" s="88" t="s">
        <v>150</v>
      </c>
      <c r="H19" s="49"/>
      <c r="I19" s="264">
        <v>306320</v>
      </c>
      <c r="J19" s="264">
        <v>306320</v>
      </c>
      <c r="K19" s="291">
        <f t="shared" si="0"/>
        <v>0</v>
      </c>
    </row>
    <row r="20" spans="1:11" ht="12.75" customHeight="1" x14ac:dyDescent="0.25">
      <c r="A20" s="89">
        <v>42807</v>
      </c>
      <c r="B20" s="270" t="s">
        <v>247</v>
      </c>
      <c r="C20" s="64">
        <v>41</v>
      </c>
      <c r="D20" s="64">
        <v>390</v>
      </c>
      <c r="E20" s="44" t="s">
        <v>480</v>
      </c>
      <c r="F20" s="49"/>
      <c r="G20" s="88" t="s">
        <v>150</v>
      </c>
      <c r="H20" s="49"/>
      <c r="I20" s="264">
        <v>199710</v>
      </c>
      <c r="J20" s="264">
        <v>199710</v>
      </c>
      <c r="K20" s="291">
        <f t="shared" si="0"/>
        <v>0</v>
      </c>
    </row>
    <row r="21" spans="1:11" ht="12.75" customHeight="1" x14ac:dyDescent="0.25">
      <c r="A21" s="89">
        <v>42807</v>
      </c>
      <c r="B21" s="270" t="s">
        <v>248</v>
      </c>
      <c r="C21" s="64">
        <v>41</v>
      </c>
      <c r="D21" s="64">
        <v>391</v>
      </c>
      <c r="E21" s="44" t="s">
        <v>481</v>
      </c>
      <c r="F21" s="49"/>
      <c r="G21" s="152" t="s">
        <v>150</v>
      </c>
      <c r="H21" s="49"/>
      <c r="I21" s="264">
        <v>52673</v>
      </c>
      <c r="J21" s="264">
        <v>52673</v>
      </c>
      <c r="K21" s="291">
        <f t="shared" si="0"/>
        <v>0</v>
      </c>
    </row>
    <row r="22" spans="1:11" ht="12.75" customHeight="1" x14ac:dyDescent="0.25">
      <c r="A22" s="89">
        <v>42807</v>
      </c>
      <c r="B22" s="270" t="s">
        <v>249</v>
      </c>
      <c r="C22" s="64">
        <v>41</v>
      </c>
      <c r="D22" s="64">
        <v>392</v>
      </c>
      <c r="E22" s="44" t="s">
        <v>482</v>
      </c>
      <c r="F22" s="49"/>
      <c r="G22" s="88" t="s">
        <v>150</v>
      </c>
      <c r="H22" s="49"/>
      <c r="I22" s="264">
        <v>3231270</v>
      </c>
      <c r="J22" s="264">
        <v>3231270</v>
      </c>
      <c r="K22" s="291">
        <f t="shared" si="0"/>
        <v>0</v>
      </c>
    </row>
    <row r="23" spans="1:11" ht="12.75" customHeight="1" x14ac:dyDescent="0.25">
      <c r="A23" s="89">
        <v>42807</v>
      </c>
      <c r="B23" s="270" t="s">
        <v>250</v>
      </c>
      <c r="C23" s="64">
        <v>41</v>
      </c>
      <c r="D23" s="64">
        <v>393</v>
      </c>
      <c r="E23" s="44" t="s">
        <v>483</v>
      </c>
      <c r="F23" s="49"/>
      <c r="G23" s="152" t="s">
        <v>150</v>
      </c>
      <c r="H23" s="49"/>
      <c r="I23" s="264">
        <v>5460030</v>
      </c>
      <c r="J23" s="264">
        <v>5460030</v>
      </c>
      <c r="K23" s="291">
        <f t="shared" si="0"/>
        <v>0</v>
      </c>
    </row>
    <row r="24" spans="1:11" ht="12.75" customHeight="1" x14ac:dyDescent="0.25">
      <c r="A24" s="89">
        <v>42832</v>
      </c>
      <c r="B24" s="270" t="s">
        <v>329</v>
      </c>
      <c r="C24" s="64">
        <v>41</v>
      </c>
      <c r="D24" s="64">
        <v>515</v>
      </c>
      <c r="E24" s="44" t="s">
        <v>484</v>
      </c>
      <c r="F24" s="49"/>
      <c r="G24" s="88" t="s">
        <v>240</v>
      </c>
      <c r="H24" s="49"/>
      <c r="I24" s="264">
        <v>19128</v>
      </c>
      <c r="J24" s="264">
        <v>19128</v>
      </c>
      <c r="K24" s="291">
        <f t="shared" si="0"/>
        <v>0</v>
      </c>
    </row>
    <row r="25" spans="1:11" ht="12.75" customHeight="1" x14ac:dyDescent="0.25">
      <c r="A25" s="89">
        <v>42857</v>
      </c>
      <c r="B25" s="270" t="s">
        <v>377</v>
      </c>
      <c r="C25" s="64">
        <v>41</v>
      </c>
      <c r="D25" s="64">
        <v>598</v>
      </c>
      <c r="E25" s="44" t="s">
        <v>485</v>
      </c>
      <c r="F25" s="49"/>
      <c r="G25" s="88" t="s">
        <v>150</v>
      </c>
      <c r="H25" s="49"/>
      <c r="I25" s="264">
        <v>154690</v>
      </c>
      <c r="J25" s="264">
        <v>154690</v>
      </c>
      <c r="K25" s="291">
        <f t="shared" si="0"/>
        <v>0</v>
      </c>
    </row>
    <row r="26" spans="1:11" ht="12.75" customHeight="1" x14ac:dyDescent="0.25">
      <c r="A26" s="89">
        <v>42857</v>
      </c>
      <c r="B26" s="270" t="s">
        <v>378</v>
      </c>
      <c r="C26" s="64">
        <v>41</v>
      </c>
      <c r="D26" s="64">
        <v>599</v>
      </c>
      <c r="E26" s="44" t="s">
        <v>486</v>
      </c>
      <c r="F26" s="49"/>
      <c r="G26" s="88" t="s">
        <v>150</v>
      </c>
      <c r="H26" s="49"/>
      <c r="I26" s="264">
        <v>98170</v>
      </c>
      <c r="J26" s="264">
        <v>98170</v>
      </c>
      <c r="K26" s="291">
        <f t="shared" si="0"/>
        <v>0</v>
      </c>
    </row>
    <row r="27" spans="1:11" ht="12.75" customHeight="1" x14ac:dyDescent="0.25">
      <c r="A27" s="89">
        <v>42857</v>
      </c>
      <c r="B27" s="270" t="s">
        <v>379</v>
      </c>
      <c r="C27" s="64">
        <v>41</v>
      </c>
      <c r="D27" s="64">
        <v>600</v>
      </c>
      <c r="E27" s="44" t="s">
        <v>487</v>
      </c>
      <c r="F27" s="49"/>
      <c r="G27" s="88" t="s">
        <v>150</v>
      </c>
      <c r="H27" s="49"/>
      <c r="I27" s="264">
        <v>286590</v>
      </c>
      <c r="J27" s="264">
        <v>286590</v>
      </c>
      <c r="K27" s="291">
        <f t="shared" si="0"/>
        <v>0</v>
      </c>
    </row>
    <row r="28" spans="1:11" ht="12.75" customHeight="1" x14ac:dyDescent="0.25">
      <c r="A28" s="89">
        <v>42857</v>
      </c>
      <c r="B28" s="270" t="s">
        <v>380</v>
      </c>
      <c r="C28" s="64">
        <v>41</v>
      </c>
      <c r="D28" s="64">
        <v>605</v>
      </c>
      <c r="E28" s="44" t="s">
        <v>488</v>
      </c>
      <c r="F28" s="49"/>
      <c r="G28" s="88" t="s">
        <v>150</v>
      </c>
      <c r="H28" s="49"/>
      <c r="I28" s="264">
        <v>5465350</v>
      </c>
      <c r="J28" s="264">
        <v>5465350</v>
      </c>
      <c r="K28" s="291">
        <f t="shared" si="0"/>
        <v>0</v>
      </c>
    </row>
    <row r="29" spans="1:11" ht="12.75" customHeight="1" x14ac:dyDescent="0.25">
      <c r="A29" s="89">
        <v>42858</v>
      </c>
      <c r="B29" s="270" t="s">
        <v>381</v>
      </c>
      <c r="C29" s="64">
        <v>41</v>
      </c>
      <c r="D29" s="64">
        <v>607</v>
      </c>
      <c r="E29" s="44" t="s">
        <v>489</v>
      </c>
      <c r="F29" s="49"/>
      <c r="G29" s="88" t="s">
        <v>150</v>
      </c>
      <c r="H29" s="49"/>
      <c r="I29" s="264">
        <v>983750</v>
      </c>
      <c r="J29" s="264">
        <v>983750</v>
      </c>
      <c r="K29" s="291">
        <f t="shared" si="0"/>
        <v>0</v>
      </c>
    </row>
    <row r="30" spans="1:11" ht="12.75" customHeight="1" x14ac:dyDescent="0.25">
      <c r="A30" s="89">
        <v>42860</v>
      </c>
      <c r="B30" s="270" t="s">
        <v>382</v>
      </c>
      <c r="C30" s="64">
        <v>41</v>
      </c>
      <c r="D30" s="64">
        <v>621</v>
      </c>
      <c r="E30" s="44" t="s">
        <v>490</v>
      </c>
      <c r="F30" s="49"/>
      <c r="G30" s="88" t="s">
        <v>150</v>
      </c>
      <c r="H30" s="49"/>
      <c r="I30" s="264">
        <v>13070990</v>
      </c>
      <c r="J30" s="264">
        <v>13070990</v>
      </c>
      <c r="K30" s="291">
        <f t="shared" si="0"/>
        <v>0</v>
      </c>
    </row>
    <row r="31" spans="1:11" ht="12.75" customHeight="1" x14ac:dyDescent="0.25">
      <c r="A31" s="89">
        <v>42860</v>
      </c>
      <c r="B31" s="270" t="s">
        <v>383</v>
      </c>
      <c r="C31" s="64">
        <v>41</v>
      </c>
      <c r="D31" s="64">
        <v>622</v>
      </c>
      <c r="E31" s="44" t="s">
        <v>491</v>
      </c>
      <c r="F31" s="49"/>
      <c r="G31" s="88" t="s">
        <v>150</v>
      </c>
      <c r="H31" s="49"/>
      <c r="I31" s="264">
        <v>4559050</v>
      </c>
      <c r="J31" s="264">
        <v>4559050</v>
      </c>
      <c r="K31" s="291">
        <f t="shared" si="0"/>
        <v>0</v>
      </c>
    </row>
    <row r="32" spans="1:11" ht="12.75" customHeight="1" x14ac:dyDescent="0.25">
      <c r="A32" s="89">
        <v>42860</v>
      </c>
      <c r="B32" s="270" t="s">
        <v>384</v>
      </c>
      <c r="C32" s="64">
        <v>41</v>
      </c>
      <c r="D32" s="64">
        <v>625</v>
      </c>
      <c r="E32" s="44" t="s">
        <v>492</v>
      </c>
      <c r="F32" s="49"/>
      <c r="G32" s="88" t="s">
        <v>150</v>
      </c>
      <c r="H32" s="49"/>
      <c r="I32" s="264">
        <v>149980</v>
      </c>
      <c r="J32" s="264">
        <v>149980</v>
      </c>
      <c r="K32" s="291">
        <f t="shared" si="0"/>
        <v>0</v>
      </c>
    </row>
    <row r="33" spans="1:11" ht="12.75" customHeight="1" x14ac:dyDescent="0.25">
      <c r="A33" s="89">
        <v>42863</v>
      </c>
      <c r="B33" s="270" t="s">
        <v>385</v>
      </c>
      <c r="C33" s="64">
        <v>41</v>
      </c>
      <c r="D33" s="64">
        <v>629</v>
      </c>
      <c r="E33" s="44" t="s">
        <v>493</v>
      </c>
      <c r="F33" s="49"/>
      <c r="G33" s="88" t="s">
        <v>150</v>
      </c>
      <c r="H33" s="49"/>
      <c r="I33" s="264">
        <v>328980</v>
      </c>
      <c r="J33" s="264">
        <v>328980</v>
      </c>
      <c r="K33" s="291">
        <f t="shared" si="0"/>
        <v>0</v>
      </c>
    </row>
    <row r="34" spans="1:11" ht="12.75" customHeight="1" x14ac:dyDescent="0.25">
      <c r="A34" s="89">
        <v>42863</v>
      </c>
      <c r="B34" s="270" t="s">
        <v>386</v>
      </c>
      <c r="C34" s="64">
        <v>41</v>
      </c>
      <c r="D34" s="64">
        <v>630</v>
      </c>
      <c r="E34" s="44" t="s">
        <v>494</v>
      </c>
      <c r="F34" s="49"/>
      <c r="G34" s="88" t="s">
        <v>150</v>
      </c>
      <c r="H34" s="49"/>
      <c r="I34" s="264">
        <v>55770</v>
      </c>
      <c r="J34" s="264">
        <v>55770</v>
      </c>
      <c r="K34" s="291">
        <f t="shared" si="0"/>
        <v>0</v>
      </c>
    </row>
    <row r="35" spans="1:11" ht="12.75" customHeight="1" x14ac:dyDescent="0.25">
      <c r="A35" s="89">
        <v>42863</v>
      </c>
      <c r="B35" s="270" t="s">
        <v>387</v>
      </c>
      <c r="C35" s="64">
        <v>41</v>
      </c>
      <c r="D35" s="64">
        <v>631</v>
      </c>
      <c r="E35" s="44" t="s">
        <v>495</v>
      </c>
      <c r="F35" s="49"/>
      <c r="G35" s="88" t="s">
        <v>150</v>
      </c>
      <c r="H35" s="49"/>
      <c r="I35" s="264">
        <v>275370</v>
      </c>
      <c r="J35" s="264">
        <v>275370</v>
      </c>
      <c r="K35" s="291">
        <f t="shared" si="0"/>
        <v>0</v>
      </c>
    </row>
    <row r="36" spans="1:11" ht="12.75" customHeight="1" x14ac:dyDescent="0.25">
      <c r="A36" s="89">
        <v>42863</v>
      </c>
      <c r="B36" s="270" t="s">
        <v>388</v>
      </c>
      <c r="C36" s="64">
        <v>41</v>
      </c>
      <c r="D36" s="64">
        <v>632</v>
      </c>
      <c r="E36" s="44" t="s">
        <v>496</v>
      </c>
      <c r="F36" s="49"/>
      <c r="G36" s="88" t="s">
        <v>240</v>
      </c>
      <c r="H36" s="49"/>
      <c r="I36" s="264">
        <v>21602</v>
      </c>
      <c r="J36" s="264">
        <v>21602</v>
      </c>
      <c r="K36" s="291">
        <f t="shared" si="0"/>
        <v>0</v>
      </c>
    </row>
    <row r="37" spans="1:11" ht="12.75" customHeight="1" x14ac:dyDescent="0.25">
      <c r="A37" s="89">
        <v>42892</v>
      </c>
      <c r="B37" s="270" t="s">
        <v>532</v>
      </c>
      <c r="C37" s="64">
        <v>41</v>
      </c>
      <c r="D37" s="64">
        <v>728</v>
      </c>
      <c r="E37" s="44" t="s">
        <v>533</v>
      </c>
      <c r="F37" s="49"/>
      <c r="G37" s="152" t="s">
        <v>240</v>
      </c>
      <c r="H37" s="49"/>
      <c r="I37" s="264">
        <v>19128</v>
      </c>
      <c r="J37" s="264">
        <v>19128</v>
      </c>
      <c r="K37" s="291">
        <f t="shared" si="0"/>
        <v>0</v>
      </c>
    </row>
    <row r="38" spans="1:11" ht="12.75" customHeight="1" x14ac:dyDescent="0.25">
      <c r="A38" s="89">
        <v>42906</v>
      </c>
      <c r="B38" s="270" t="s">
        <v>553</v>
      </c>
      <c r="C38" s="64">
        <v>41</v>
      </c>
      <c r="D38" s="64">
        <v>772</v>
      </c>
      <c r="E38" s="44" t="s">
        <v>561</v>
      </c>
      <c r="F38" s="49"/>
      <c r="G38" s="152" t="s">
        <v>150</v>
      </c>
      <c r="H38" s="49"/>
      <c r="I38" s="264">
        <v>144160</v>
      </c>
      <c r="J38" s="264">
        <v>144160</v>
      </c>
      <c r="K38" s="291">
        <f t="shared" si="0"/>
        <v>0</v>
      </c>
    </row>
    <row r="39" spans="1:11" ht="12.75" customHeight="1" x14ac:dyDescent="0.25">
      <c r="A39" s="89">
        <v>42906</v>
      </c>
      <c r="B39" s="270" t="s">
        <v>554</v>
      </c>
      <c r="C39" s="64">
        <v>41</v>
      </c>
      <c r="D39" s="64">
        <v>773</v>
      </c>
      <c r="E39" s="44" t="s">
        <v>562</v>
      </c>
      <c r="F39" s="49"/>
      <c r="G39" s="152" t="s">
        <v>150</v>
      </c>
      <c r="H39" s="49"/>
      <c r="I39" s="264">
        <v>264930</v>
      </c>
      <c r="J39" s="264">
        <v>264930</v>
      </c>
      <c r="K39" s="291">
        <f t="shared" si="0"/>
        <v>0</v>
      </c>
    </row>
    <row r="40" spans="1:11" ht="12.75" customHeight="1" x14ac:dyDescent="0.25">
      <c r="A40" s="89">
        <v>42906</v>
      </c>
      <c r="B40" s="270" t="s">
        <v>555</v>
      </c>
      <c r="C40" s="64">
        <v>41</v>
      </c>
      <c r="D40" s="64">
        <v>774</v>
      </c>
      <c r="E40" s="44" t="s">
        <v>563</v>
      </c>
      <c r="F40" s="49"/>
      <c r="G40" s="152" t="s">
        <v>150</v>
      </c>
      <c r="H40" s="49"/>
      <c r="I40" s="264">
        <v>1033060</v>
      </c>
      <c r="J40" s="264">
        <v>1033060</v>
      </c>
      <c r="K40" s="291">
        <f t="shared" si="0"/>
        <v>0</v>
      </c>
    </row>
    <row r="41" spans="1:11" ht="12.75" customHeight="1" x14ac:dyDescent="0.25">
      <c r="A41" s="89">
        <v>42906</v>
      </c>
      <c r="B41" s="270" t="s">
        <v>556</v>
      </c>
      <c r="C41" s="64">
        <v>41</v>
      </c>
      <c r="D41" s="64">
        <v>775</v>
      </c>
      <c r="E41" s="44" t="s">
        <v>564</v>
      </c>
      <c r="F41" s="49"/>
      <c r="G41" s="152" t="s">
        <v>150</v>
      </c>
      <c r="H41" s="49"/>
      <c r="I41" s="264">
        <v>124840</v>
      </c>
      <c r="J41" s="264">
        <v>124840</v>
      </c>
      <c r="K41" s="291">
        <f t="shared" si="0"/>
        <v>0</v>
      </c>
    </row>
    <row r="42" spans="1:11" ht="12.75" customHeight="1" x14ac:dyDescent="0.25">
      <c r="A42" s="89">
        <v>42906</v>
      </c>
      <c r="B42" s="270" t="s">
        <v>557</v>
      </c>
      <c r="C42" s="64">
        <v>41</v>
      </c>
      <c r="D42" s="64">
        <v>776</v>
      </c>
      <c r="E42" s="44" t="s">
        <v>565</v>
      </c>
      <c r="F42" s="49"/>
      <c r="G42" s="152" t="s">
        <v>150</v>
      </c>
      <c r="H42" s="49"/>
      <c r="I42" s="264">
        <v>5730740</v>
      </c>
      <c r="J42" s="264">
        <v>5730740</v>
      </c>
      <c r="K42" s="291">
        <f t="shared" si="0"/>
        <v>0</v>
      </c>
    </row>
    <row r="43" spans="1:11" ht="12.75" customHeight="1" x14ac:dyDescent="0.25">
      <c r="A43" s="89">
        <v>42909</v>
      </c>
      <c r="B43" s="270" t="s">
        <v>558</v>
      </c>
      <c r="C43" s="64">
        <v>41</v>
      </c>
      <c r="D43" s="64">
        <v>789</v>
      </c>
      <c r="E43" s="44" t="s">
        <v>566</v>
      </c>
      <c r="F43" s="49"/>
      <c r="G43" s="152" t="s">
        <v>150</v>
      </c>
      <c r="H43" s="49"/>
      <c r="I43" s="264">
        <v>37880</v>
      </c>
      <c r="J43" s="264">
        <v>37880</v>
      </c>
      <c r="K43" s="291">
        <f t="shared" si="0"/>
        <v>0</v>
      </c>
    </row>
    <row r="44" spans="1:11" ht="12.75" customHeight="1" x14ac:dyDescent="0.25">
      <c r="A44" s="89">
        <v>42909</v>
      </c>
      <c r="B44" s="270" t="s">
        <v>559</v>
      </c>
      <c r="C44" s="64">
        <v>41</v>
      </c>
      <c r="D44" s="64">
        <v>790</v>
      </c>
      <c r="E44" s="44" t="s">
        <v>666</v>
      </c>
      <c r="F44" s="49"/>
      <c r="G44" s="152" t="s">
        <v>150</v>
      </c>
      <c r="H44" s="49"/>
      <c r="I44" s="264">
        <v>4409890</v>
      </c>
      <c r="J44" s="264">
        <v>4409890</v>
      </c>
      <c r="K44" s="291">
        <f t="shared" si="0"/>
        <v>0</v>
      </c>
    </row>
    <row r="45" spans="1:11" ht="12.75" customHeight="1" x14ac:dyDescent="0.25">
      <c r="A45" s="89">
        <v>42909</v>
      </c>
      <c r="B45" s="270" t="s">
        <v>560</v>
      </c>
      <c r="C45" s="64">
        <v>41</v>
      </c>
      <c r="D45" s="64">
        <v>791</v>
      </c>
      <c r="E45" s="44" t="s">
        <v>665</v>
      </c>
      <c r="F45" s="49"/>
      <c r="G45" s="152" t="s">
        <v>150</v>
      </c>
      <c r="H45" s="49"/>
      <c r="I45" s="264">
        <v>168320</v>
      </c>
      <c r="J45" s="264">
        <v>168320</v>
      </c>
      <c r="K45" s="291">
        <f t="shared" si="0"/>
        <v>0</v>
      </c>
    </row>
    <row r="46" spans="1:11" ht="12.75" customHeight="1" x14ac:dyDescent="0.25">
      <c r="A46" s="89">
        <v>42926</v>
      </c>
      <c r="B46" s="270" t="s">
        <v>663</v>
      </c>
      <c r="C46" s="64">
        <v>41</v>
      </c>
      <c r="D46" s="64">
        <v>822</v>
      </c>
      <c r="E46" s="44" t="s">
        <v>664</v>
      </c>
      <c r="F46" s="49"/>
      <c r="G46" s="152" t="s">
        <v>240</v>
      </c>
      <c r="H46" s="49"/>
      <c r="I46" s="264">
        <v>20365</v>
      </c>
      <c r="J46" s="264">
        <v>20365</v>
      </c>
      <c r="K46" s="291">
        <f t="shared" si="0"/>
        <v>0</v>
      </c>
    </row>
    <row r="47" spans="1:11" ht="12.75" customHeight="1" x14ac:dyDescent="0.25">
      <c r="A47" s="89">
        <v>42956</v>
      </c>
      <c r="B47" s="270" t="s">
        <v>735</v>
      </c>
      <c r="C47" s="64">
        <v>41</v>
      </c>
      <c r="D47" s="64">
        <v>880</v>
      </c>
      <c r="E47" s="44" t="s">
        <v>737</v>
      </c>
      <c r="F47" s="49"/>
      <c r="G47" s="152" t="s">
        <v>240</v>
      </c>
      <c r="H47" s="49"/>
      <c r="I47" s="264">
        <v>19128</v>
      </c>
      <c r="J47" s="264">
        <v>19128</v>
      </c>
      <c r="K47" s="291">
        <f t="shared" si="0"/>
        <v>0</v>
      </c>
    </row>
    <row r="48" spans="1:11" ht="12.75" customHeight="1" x14ac:dyDescent="0.25">
      <c r="A48" s="89">
        <v>42965</v>
      </c>
      <c r="B48" s="270" t="s">
        <v>736</v>
      </c>
      <c r="C48" s="64">
        <v>41</v>
      </c>
      <c r="D48" s="64">
        <v>903</v>
      </c>
      <c r="E48" s="44" t="s">
        <v>738</v>
      </c>
      <c r="F48" s="49"/>
      <c r="G48" s="152" t="s">
        <v>150</v>
      </c>
      <c r="H48" s="49"/>
      <c r="I48" s="264">
        <v>158650</v>
      </c>
      <c r="J48" s="264">
        <v>158650</v>
      </c>
      <c r="K48" s="291">
        <f t="shared" si="0"/>
        <v>0</v>
      </c>
    </row>
    <row r="49" spans="1:11" ht="12.75" customHeight="1" x14ac:dyDescent="0.25">
      <c r="A49" s="89">
        <v>42970</v>
      </c>
      <c r="B49" s="270" t="s">
        <v>770</v>
      </c>
      <c r="C49" s="64">
        <v>41</v>
      </c>
      <c r="D49" s="64">
        <v>915</v>
      </c>
      <c r="E49" s="285" t="s">
        <v>777</v>
      </c>
      <c r="F49" s="49"/>
      <c r="G49" s="152" t="s">
        <v>150</v>
      </c>
      <c r="H49" s="49"/>
      <c r="I49" s="264">
        <v>6175180</v>
      </c>
      <c r="J49" s="264">
        <v>6175180</v>
      </c>
      <c r="K49" s="291">
        <f t="shared" si="0"/>
        <v>0</v>
      </c>
    </row>
    <row r="50" spans="1:11" ht="12.75" customHeight="1" x14ac:dyDescent="0.25">
      <c r="A50" s="89">
        <v>42970</v>
      </c>
      <c r="B50" s="270" t="s">
        <v>771</v>
      </c>
      <c r="C50" s="64">
        <v>41</v>
      </c>
      <c r="D50" s="64">
        <v>917</v>
      </c>
      <c r="E50" s="44" t="s">
        <v>778</v>
      </c>
      <c r="F50" s="49"/>
      <c r="G50" s="152" t="s">
        <v>150</v>
      </c>
      <c r="H50" s="49"/>
      <c r="I50" s="264">
        <v>4289120</v>
      </c>
      <c r="J50" s="264">
        <v>4289120</v>
      </c>
      <c r="K50" s="291">
        <f t="shared" si="0"/>
        <v>0</v>
      </c>
    </row>
    <row r="51" spans="1:11" ht="12.75" customHeight="1" x14ac:dyDescent="0.25">
      <c r="A51" s="89">
        <v>42970</v>
      </c>
      <c r="B51" s="270" t="s">
        <v>772</v>
      </c>
      <c r="C51" s="64">
        <v>41</v>
      </c>
      <c r="D51" s="64">
        <v>919</v>
      </c>
      <c r="E51" s="44" t="s">
        <v>779</v>
      </c>
      <c r="F51" s="49"/>
      <c r="G51" s="152" t="s">
        <v>150</v>
      </c>
      <c r="H51" s="49"/>
      <c r="I51" s="264">
        <v>148990</v>
      </c>
      <c r="J51" s="264">
        <v>148990</v>
      </c>
      <c r="K51" s="291">
        <f t="shared" si="0"/>
        <v>0</v>
      </c>
    </row>
    <row r="52" spans="1:11" ht="12.75" customHeight="1" x14ac:dyDescent="0.25">
      <c r="A52" s="89">
        <v>42971</v>
      </c>
      <c r="B52" s="270" t="s">
        <v>773</v>
      </c>
      <c r="C52" s="64">
        <v>41</v>
      </c>
      <c r="D52" s="64">
        <v>928</v>
      </c>
      <c r="E52" s="44" t="s">
        <v>780</v>
      </c>
      <c r="F52" s="49"/>
      <c r="G52" s="152" t="s">
        <v>150</v>
      </c>
      <c r="H52" s="49"/>
      <c r="I52" s="264">
        <v>231120</v>
      </c>
      <c r="J52" s="264">
        <v>231120</v>
      </c>
      <c r="K52" s="291">
        <f t="shared" si="0"/>
        <v>0</v>
      </c>
    </row>
    <row r="53" spans="1:11" ht="12.75" customHeight="1" x14ac:dyDescent="0.25">
      <c r="A53" s="89">
        <v>42971</v>
      </c>
      <c r="B53" s="270" t="s">
        <v>774</v>
      </c>
      <c r="C53" s="64">
        <v>41</v>
      </c>
      <c r="D53" s="64">
        <v>929</v>
      </c>
      <c r="E53" s="44" t="s">
        <v>781</v>
      </c>
      <c r="F53" s="49"/>
      <c r="G53" s="152" t="s">
        <v>150</v>
      </c>
      <c r="H53" s="49"/>
      <c r="I53" s="264">
        <v>66870</v>
      </c>
      <c r="J53" s="264">
        <v>66870</v>
      </c>
      <c r="K53" s="291">
        <f t="shared" si="0"/>
        <v>0</v>
      </c>
    </row>
    <row r="54" spans="1:11" ht="12.75" customHeight="1" x14ac:dyDescent="0.25">
      <c r="A54" s="89">
        <v>42971</v>
      </c>
      <c r="B54" s="270" t="s">
        <v>775</v>
      </c>
      <c r="C54" s="64">
        <v>41</v>
      </c>
      <c r="D54" s="64">
        <v>930</v>
      </c>
      <c r="E54" s="44" t="s">
        <v>782</v>
      </c>
      <c r="F54" s="49"/>
      <c r="G54" s="152" t="s">
        <v>150</v>
      </c>
      <c r="H54" s="49"/>
      <c r="I54" s="264">
        <v>1037890</v>
      </c>
      <c r="J54" s="264">
        <v>1037890</v>
      </c>
      <c r="K54" s="291">
        <f t="shared" si="0"/>
        <v>0</v>
      </c>
    </row>
    <row r="55" spans="1:11" ht="12.75" customHeight="1" x14ac:dyDescent="0.25">
      <c r="A55" s="89">
        <v>42971</v>
      </c>
      <c r="B55" s="270" t="s">
        <v>776</v>
      </c>
      <c r="C55" s="64">
        <v>41</v>
      </c>
      <c r="D55" s="64">
        <v>931</v>
      </c>
      <c r="E55" s="44" t="s">
        <v>783</v>
      </c>
      <c r="F55" s="49"/>
      <c r="G55" s="152" t="s">
        <v>150</v>
      </c>
      <c r="H55" s="49"/>
      <c r="I55" s="264">
        <v>134500</v>
      </c>
      <c r="J55" s="264">
        <v>134500</v>
      </c>
      <c r="K55" s="291">
        <f t="shared" si="0"/>
        <v>0</v>
      </c>
    </row>
    <row r="56" spans="1:11" ht="12.75" customHeight="1" x14ac:dyDescent="0.25">
      <c r="A56" s="89">
        <v>42983</v>
      </c>
      <c r="B56" s="270" t="s">
        <v>814</v>
      </c>
      <c r="C56" s="64">
        <v>41</v>
      </c>
      <c r="D56" s="64">
        <v>952</v>
      </c>
      <c r="E56" s="44" t="s">
        <v>818</v>
      </c>
      <c r="F56" s="49"/>
      <c r="G56" s="152" t="s">
        <v>150</v>
      </c>
      <c r="H56" s="49"/>
      <c r="I56" s="264">
        <v>313090</v>
      </c>
      <c r="J56" s="264">
        <v>313090</v>
      </c>
      <c r="K56" s="291">
        <f t="shared" si="0"/>
        <v>0</v>
      </c>
    </row>
    <row r="57" spans="1:11" ht="12.75" customHeight="1" x14ac:dyDescent="0.25">
      <c r="A57" s="89">
        <v>42983</v>
      </c>
      <c r="B57" s="270" t="s">
        <v>815</v>
      </c>
      <c r="C57" s="64">
        <v>41</v>
      </c>
      <c r="D57" s="64">
        <v>953</v>
      </c>
      <c r="E57" s="44" t="s">
        <v>819</v>
      </c>
      <c r="F57" s="49"/>
      <c r="G57" s="152" t="s">
        <v>150</v>
      </c>
      <c r="H57" s="49"/>
      <c r="I57" s="264">
        <v>18560</v>
      </c>
      <c r="J57" s="264">
        <v>18560</v>
      </c>
      <c r="K57" s="291">
        <f t="shared" si="0"/>
        <v>0</v>
      </c>
    </row>
    <row r="58" spans="1:11" ht="12.75" customHeight="1" x14ac:dyDescent="0.25">
      <c r="A58" s="89">
        <v>42984</v>
      </c>
      <c r="B58" s="270" t="s">
        <v>816</v>
      </c>
      <c r="C58" s="64">
        <v>41</v>
      </c>
      <c r="D58" s="64">
        <v>961</v>
      </c>
      <c r="E58" s="44" t="s">
        <v>820</v>
      </c>
      <c r="F58" s="49"/>
      <c r="G58" s="152" t="s">
        <v>150</v>
      </c>
      <c r="H58" s="49"/>
      <c r="I58" s="264">
        <v>2376060</v>
      </c>
      <c r="J58" s="264">
        <v>2376060</v>
      </c>
      <c r="K58" s="291">
        <f t="shared" si="0"/>
        <v>0</v>
      </c>
    </row>
    <row r="59" spans="1:11" ht="12.75" customHeight="1" x14ac:dyDescent="0.25">
      <c r="A59" s="89">
        <v>42984</v>
      </c>
      <c r="B59" s="270" t="s">
        <v>817</v>
      </c>
      <c r="C59" s="64">
        <v>41</v>
      </c>
      <c r="D59" s="64">
        <v>962</v>
      </c>
      <c r="E59" s="44" t="s">
        <v>821</v>
      </c>
      <c r="F59" s="49"/>
      <c r="G59" s="152" t="s">
        <v>150</v>
      </c>
      <c r="H59" s="49"/>
      <c r="I59" s="264">
        <v>20365</v>
      </c>
      <c r="J59" s="264">
        <v>20365</v>
      </c>
      <c r="K59" s="291">
        <f t="shared" si="0"/>
        <v>0</v>
      </c>
    </row>
    <row r="60" spans="1:11" ht="12.75" customHeight="1" x14ac:dyDescent="0.25">
      <c r="A60" s="89">
        <v>43014</v>
      </c>
      <c r="B60" s="270" t="s">
        <v>1062</v>
      </c>
      <c r="C60" s="64">
        <v>41</v>
      </c>
      <c r="D60" s="64">
        <v>1141</v>
      </c>
      <c r="E60" s="44" t="s">
        <v>1063</v>
      </c>
      <c r="F60" s="49"/>
      <c r="G60" s="152" t="s">
        <v>150</v>
      </c>
      <c r="H60" s="49"/>
      <c r="I60" s="264">
        <v>20365</v>
      </c>
      <c r="J60" s="264">
        <v>20365</v>
      </c>
      <c r="K60" s="291">
        <f t="shared" si="0"/>
        <v>0</v>
      </c>
    </row>
    <row r="61" spans="1:11" ht="12.75" customHeight="1" x14ac:dyDescent="0.25">
      <c r="A61" s="89">
        <v>43031</v>
      </c>
      <c r="B61" s="270" t="s">
        <v>1100</v>
      </c>
      <c r="C61" s="64">
        <v>41</v>
      </c>
      <c r="D61" s="64">
        <v>1180</v>
      </c>
      <c r="E61" s="44" t="s">
        <v>1106</v>
      </c>
      <c r="F61" s="49"/>
      <c r="G61" s="152" t="s">
        <v>150</v>
      </c>
      <c r="H61" s="49"/>
      <c r="I61" s="264">
        <v>120080</v>
      </c>
      <c r="J61" s="264">
        <v>120080</v>
      </c>
      <c r="K61" s="291">
        <f t="shared" si="0"/>
        <v>0</v>
      </c>
    </row>
    <row r="62" spans="1:11" ht="12.75" customHeight="1" x14ac:dyDescent="0.25">
      <c r="A62" s="89">
        <v>43031</v>
      </c>
      <c r="B62" s="270" t="s">
        <v>1101</v>
      </c>
      <c r="C62" s="64">
        <v>41</v>
      </c>
      <c r="D62" s="64">
        <v>1183</v>
      </c>
      <c r="E62" s="44" t="s">
        <v>1107</v>
      </c>
      <c r="F62" s="49"/>
      <c r="G62" s="152" t="s">
        <v>150</v>
      </c>
      <c r="H62" s="49"/>
      <c r="I62" s="264">
        <v>211930</v>
      </c>
      <c r="J62" s="264">
        <v>211930</v>
      </c>
      <c r="K62" s="291">
        <f t="shared" si="0"/>
        <v>0</v>
      </c>
    </row>
    <row r="63" spans="1:11" ht="12.75" customHeight="1" x14ac:dyDescent="0.25">
      <c r="A63" s="89">
        <v>43031</v>
      </c>
      <c r="B63" s="270" t="s">
        <v>1102</v>
      </c>
      <c r="C63" s="64">
        <v>41</v>
      </c>
      <c r="D63" s="64">
        <v>1184</v>
      </c>
      <c r="E63" s="44" t="s">
        <v>1108</v>
      </c>
      <c r="F63" s="49"/>
      <c r="G63" s="152" t="s">
        <v>150</v>
      </c>
      <c r="H63" s="49"/>
      <c r="I63" s="264">
        <v>203140</v>
      </c>
      <c r="J63" s="264">
        <v>203140</v>
      </c>
      <c r="K63" s="291">
        <f t="shared" si="0"/>
        <v>0</v>
      </c>
    </row>
    <row r="64" spans="1:11" ht="12.75" customHeight="1" x14ac:dyDescent="0.25">
      <c r="A64" s="89">
        <v>43031</v>
      </c>
      <c r="B64" s="270" t="s">
        <v>1103</v>
      </c>
      <c r="C64" s="64">
        <v>41</v>
      </c>
      <c r="D64" s="64">
        <v>1185</v>
      </c>
      <c r="E64" s="44" t="s">
        <v>1109</v>
      </c>
      <c r="F64" s="49"/>
      <c r="G64" s="152" t="s">
        <v>150</v>
      </c>
      <c r="H64" s="49"/>
      <c r="I64" s="264">
        <v>240930</v>
      </c>
      <c r="J64" s="264">
        <v>240930</v>
      </c>
      <c r="K64" s="291">
        <f t="shared" si="0"/>
        <v>0</v>
      </c>
    </row>
    <row r="65" spans="1:11" ht="12.75" customHeight="1" x14ac:dyDescent="0.25">
      <c r="A65" s="89">
        <v>43031</v>
      </c>
      <c r="B65" s="270" t="s">
        <v>1104</v>
      </c>
      <c r="C65" s="64">
        <v>41</v>
      </c>
      <c r="D65" s="64">
        <v>1186</v>
      </c>
      <c r="E65" s="44" t="s">
        <v>1110</v>
      </c>
      <c r="F65" s="49"/>
      <c r="G65" s="152" t="s">
        <v>150</v>
      </c>
      <c r="H65" s="49"/>
      <c r="I65" s="264">
        <v>3412210</v>
      </c>
      <c r="J65" s="264">
        <v>3412210</v>
      </c>
      <c r="K65" s="291">
        <f t="shared" si="0"/>
        <v>0</v>
      </c>
    </row>
    <row r="66" spans="1:11" ht="12.75" customHeight="1" x14ac:dyDescent="0.25">
      <c r="A66" s="89">
        <v>43031</v>
      </c>
      <c r="B66" s="270" t="s">
        <v>1105</v>
      </c>
      <c r="C66" s="64">
        <v>41</v>
      </c>
      <c r="D66" s="64">
        <v>1188</v>
      </c>
      <c r="E66" s="44" t="s">
        <v>1111</v>
      </c>
      <c r="F66" s="49"/>
      <c r="G66" s="152" t="s">
        <v>150</v>
      </c>
      <c r="H66" s="49"/>
      <c r="I66" s="264">
        <v>110410</v>
      </c>
      <c r="J66" s="264">
        <v>110410</v>
      </c>
      <c r="K66" s="291">
        <f t="shared" si="0"/>
        <v>0</v>
      </c>
    </row>
    <row r="67" spans="1:11" ht="12.75" customHeight="1" x14ac:dyDescent="0.25">
      <c r="A67" s="89">
        <v>43033</v>
      </c>
      <c r="B67" s="270" t="s">
        <v>1146</v>
      </c>
      <c r="C67" s="64">
        <v>41</v>
      </c>
      <c r="D67" s="64">
        <v>1215</v>
      </c>
      <c r="E67" s="285" t="s">
        <v>1149</v>
      </c>
      <c r="F67" s="49"/>
      <c r="G67" s="152" t="s">
        <v>150</v>
      </c>
      <c r="H67" s="49"/>
      <c r="I67" s="264">
        <v>5879530</v>
      </c>
      <c r="J67" s="264">
        <v>5879530</v>
      </c>
      <c r="K67" s="291">
        <f t="shared" si="0"/>
        <v>0</v>
      </c>
    </row>
    <row r="68" spans="1:11" ht="12.75" customHeight="1" x14ac:dyDescent="0.25">
      <c r="A68" s="89">
        <v>43034</v>
      </c>
      <c r="B68" s="270" t="s">
        <v>1147</v>
      </c>
      <c r="C68" s="64">
        <v>41</v>
      </c>
      <c r="D68" s="64">
        <v>1221</v>
      </c>
      <c r="E68" s="285" t="s">
        <v>1150</v>
      </c>
      <c r="F68" s="49"/>
      <c r="G68" s="152" t="s">
        <v>150</v>
      </c>
      <c r="H68" s="49"/>
      <c r="I68" s="264">
        <v>35690600</v>
      </c>
      <c r="J68" s="264">
        <v>35690600</v>
      </c>
      <c r="K68" s="291">
        <f t="shared" si="0"/>
        <v>0</v>
      </c>
    </row>
    <row r="69" spans="1:11" ht="12.75" customHeight="1" x14ac:dyDescent="0.25">
      <c r="A69" s="89">
        <v>43035</v>
      </c>
      <c r="B69" s="270" t="s">
        <v>1148</v>
      </c>
      <c r="C69" s="64">
        <v>41</v>
      </c>
      <c r="D69" s="64">
        <v>1227</v>
      </c>
      <c r="E69" s="285" t="s">
        <v>1151</v>
      </c>
      <c r="F69" s="49"/>
      <c r="G69" s="152" t="s">
        <v>150</v>
      </c>
      <c r="H69" s="49"/>
      <c r="I69" s="264">
        <v>511650</v>
      </c>
      <c r="J69" s="264">
        <v>511650</v>
      </c>
      <c r="K69" s="291">
        <f t="shared" si="0"/>
        <v>0</v>
      </c>
    </row>
    <row r="70" spans="1:11" ht="12.75" customHeight="1" x14ac:dyDescent="0.25">
      <c r="A70" s="89">
        <v>43053</v>
      </c>
      <c r="B70" s="270" t="s">
        <v>1171</v>
      </c>
      <c r="C70" s="64">
        <v>41</v>
      </c>
      <c r="D70" s="64">
        <v>1293</v>
      </c>
      <c r="E70" s="44" t="s">
        <v>1172</v>
      </c>
      <c r="F70" s="49"/>
      <c r="G70" s="152" t="s">
        <v>150</v>
      </c>
      <c r="H70" s="49"/>
      <c r="I70" s="264">
        <v>19128</v>
      </c>
      <c r="J70" s="264">
        <v>19128</v>
      </c>
      <c r="K70" s="289">
        <f t="shared" si="0"/>
        <v>0</v>
      </c>
    </row>
    <row r="71" spans="1:11" ht="12.75" customHeight="1" x14ac:dyDescent="0.25">
      <c r="A71" s="89">
        <v>43061</v>
      </c>
      <c r="B71" s="270"/>
      <c r="C71" s="64"/>
      <c r="D71" s="64"/>
      <c r="E71" s="44"/>
      <c r="F71" s="49"/>
      <c r="G71" s="152"/>
      <c r="H71" s="49"/>
      <c r="I71" s="264"/>
      <c r="J71" s="264"/>
      <c r="K71" s="289"/>
    </row>
    <row r="72" spans="1:11" ht="12.75" customHeight="1" x14ac:dyDescent="0.25">
      <c r="A72" s="48"/>
      <c r="B72" s="41"/>
      <c r="C72" s="64"/>
      <c r="D72" s="64"/>
      <c r="E72" s="44"/>
      <c r="F72" s="66"/>
      <c r="G72" s="152"/>
      <c r="H72" s="49"/>
      <c r="I72" s="264"/>
      <c r="J72" s="78"/>
      <c r="K72" s="78"/>
    </row>
    <row r="73" spans="1:11" x14ac:dyDescent="0.25">
      <c r="A73" s="55"/>
      <c r="B73" s="56"/>
      <c r="C73" s="56"/>
      <c r="D73" s="56"/>
      <c r="E73" s="56"/>
      <c r="F73" s="56"/>
      <c r="G73" s="527" t="s">
        <v>132</v>
      </c>
      <c r="H73" s="528"/>
      <c r="I73" s="70">
        <f>SUM(I13:I72)</f>
        <v>117998939</v>
      </c>
      <c r="J73" s="70">
        <f>SUM(J13:J72)</f>
        <v>117998939</v>
      </c>
      <c r="K73" s="83">
        <f>SUM(K13:K72)</f>
        <v>0</v>
      </c>
    </row>
    <row r="74" spans="1:11" ht="12.75" customHeight="1" x14ac:dyDescent="0.25">
      <c r="A74" s="3"/>
      <c r="B74" s="3"/>
      <c r="C74" s="3"/>
      <c r="D74" s="3"/>
      <c r="E74" s="3"/>
      <c r="F74" s="3"/>
      <c r="G74" s="3"/>
      <c r="H74" s="3"/>
      <c r="I74" s="98"/>
      <c r="J74" s="98"/>
      <c r="K74" s="56"/>
    </row>
    <row r="75" spans="1:11" ht="24.95" customHeight="1" x14ac:dyDescent="0.25">
      <c r="A75" s="31" t="s">
        <v>58</v>
      </c>
      <c r="B75" s="31" t="s">
        <v>133</v>
      </c>
      <c r="C75" s="31" t="s">
        <v>30</v>
      </c>
      <c r="D75" s="32" t="s">
        <v>59</v>
      </c>
      <c r="E75" s="31" t="s">
        <v>40</v>
      </c>
      <c r="F75" s="31" t="s">
        <v>62</v>
      </c>
      <c r="G75" s="31" t="s">
        <v>37</v>
      </c>
      <c r="H75" s="31" t="s">
        <v>60</v>
      </c>
      <c r="I75" s="31" t="s">
        <v>61</v>
      </c>
      <c r="J75" s="31" t="s">
        <v>99</v>
      </c>
      <c r="K75" s="31" t="s">
        <v>68</v>
      </c>
    </row>
    <row r="76" spans="1:11" ht="24.95" customHeight="1" x14ac:dyDescent="0.25">
      <c r="A76" s="95">
        <v>460400000</v>
      </c>
      <c r="B76" s="95">
        <v>-283389756</v>
      </c>
      <c r="C76" s="95">
        <v>0</v>
      </c>
      <c r="D76" s="82">
        <f>+A76+B76-C76</f>
        <v>177010244</v>
      </c>
      <c r="E76" s="146">
        <f>+I73</f>
        <v>117998939</v>
      </c>
      <c r="F76" s="72">
        <f>+E76/D76</f>
        <v>0.66662209109208392</v>
      </c>
      <c r="G76" s="146">
        <f>+I9</f>
        <v>59011305</v>
      </c>
      <c r="H76" s="146">
        <f>+D76-E76-G76</f>
        <v>0</v>
      </c>
      <c r="I76" s="146">
        <f>+J73</f>
        <v>117998939</v>
      </c>
      <c r="J76" s="73">
        <f>+I76/D76</f>
        <v>0.66662209109208392</v>
      </c>
      <c r="K76" s="146">
        <f>+K73</f>
        <v>0</v>
      </c>
    </row>
    <row r="77" spans="1:11" x14ac:dyDescent="0.25">
      <c r="A77" s="74">
        <v>1</v>
      </c>
      <c r="B77" s="74">
        <v>2</v>
      </c>
      <c r="C77" s="74">
        <v>3</v>
      </c>
      <c r="D77" s="74" t="s">
        <v>42</v>
      </c>
      <c r="E77" s="74">
        <v>5</v>
      </c>
      <c r="F77" s="74" t="s">
        <v>69</v>
      </c>
      <c r="G77" s="74">
        <v>7</v>
      </c>
      <c r="H77" s="74" t="s">
        <v>70</v>
      </c>
      <c r="I77" s="74">
        <v>9</v>
      </c>
      <c r="J77" s="74" t="s">
        <v>100</v>
      </c>
      <c r="K77" s="74" t="s">
        <v>101</v>
      </c>
    </row>
    <row r="80" spans="1:11" x14ac:dyDescent="0.25">
      <c r="E80" s="239"/>
    </row>
  </sheetData>
  <mergeCells count="15">
    <mergeCell ref="G73:H73"/>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34" workbookViewId="0">
      <selection activeCell="E62" sqref="E62"/>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112</v>
      </c>
      <c r="B3" s="34" t="s">
        <v>2</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89">
        <v>42747</v>
      </c>
      <c r="B7" s="152" t="s">
        <v>163</v>
      </c>
      <c r="C7" s="116"/>
      <c r="D7" s="129">
        <v>39</v>
      </c>
      <c r="E7" s="65" t="s">
        <v>167</v>
      </c>
      <c r="F7" s="117"/>
      <c r="G7" s="117"/>
      <c r="H7" s="255"/>
      <c r="I7" s="265">
        <f>55600000-778310-67269-4858-345229-4858-183010-182919-67319-4858-781749-342430-65490-969220-65490-65490-180420-65490-61593-65490-74640-1035050-74640-284853-74640-74640-194380-831400-69880-182130-69880-977090-69880-784520-279137-43693025-147090-69880-147090-69880-132790-195610-76090-1038260-76090-76090</f>
        <v>499853</v>
      </c>
      <c r="J7" s="139" t="s">
        <v>196</v>
      </c>
      <c r="K7" s="116"/>
    </row>
    <row r="8" spans="1:11" ht="12.75" customHeight="1" x14ac:dyDescent="0.25">
      <c r="A8" s="48"/>
      <c r="B8" s="53"/>
      <c r="C8" s="54"/>
      <c r="D8" s="44"/>
      <c r="E8" s="44"/>
      <c r="F8" s="37"/>
      <c r="G8" s="51"/>
      <c r="H8" s="52"/>
      <c r="I8" s="76"/>
      <c r="J8" s="44"/>
      <c r="K8" s="49"/>
    </row>
    <row r="9" spans="1:11" x14ac:dyDescent="0.25">
      <c r="A9" s="55"/>
      <c r="B9" s="56"/>
      <c r="C9" s="56"/>
      <c r="D9" s="56"/>
      <c r="E9" s="56"/>
      <c r="F9" s="56"/>
      <c r="G9" s="527" t="s">
        <v>132</v>
      </c>
      <c r="H9" s="528"/>
      <c r="I9" s="77">
        <f>SUM(I7:I8)</f>
        <v>499853</v>
      </c>
      <c r="J9" s="57"/>
      <c r="K9" s="58"/>
    </row>
    <row r="10" spans="1:11" ht="12.75" customHeight="1" x14ac:dyDescent="0.25">
      <c r="A10" s="3"/>
      <c r="B10" s="3"/>
      <c r="C10" s="3"/>
      <c r="D10" s="3"/>
      <c r="E10" s="3"/>
      <c r="F10" s="3"/>
      <c r="G10" s="3"/>
      <c r="H10" s="3"/>
      <c r="I10" s="98"/>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89">
        <v>42748</v>
      </c>
      <c r="B13" s="270" t="s">
        <v>260</v>
      </c>
      <c r="C13" s="64">
        <v>39</v>
      </c>
      <c r="D13" s="64">
        <v>40</v>
      </c>
      <c r="E13" s="44" t="s">
        <v>497</v>
      </c>
      <c r="F13" s="49"/>
      <c r="G13" t="s">
        <v>150</v>
      </c>
      <c r="H13" s="49"/>
      <c r="I13" s="262">
        <v>778310</v>
      </c>
      <c r="J13" s="262">
        <v>778310</v>
      </c>
      <c r="K13" s="78">
        <f>+I13-J13</f>
        <v>0</v>
      </c>
    </row>
    <row r="14" spans="1:11" ht="12.75" customHeight="1" x14ac:dyDescent="0.25">
      <c r="A14" s="89">
        <v>42800</v>
      </c>
      <c r="B14" s="270" t="s">
        <v>251</v>
      </c>
      <c r="C14" s="64">
        <v>39</v>
      </c>
      <c r="D14" s="64">
        <v>341</v>
      </c>
      <c r="E14" s="44" t="s">
        <v>498</v>
      </c>
      <c r="F14" s="49"/>
      <c r="G14" s="44" t="s">
        <v>150</v>
      </c>
      <c r="H14" s="49"/>
      <c r="I14" s="271">
        <v>67269</v>
      </c>
      <c r="J14" s="271">
        <v>67269</v>
      </c>
      <c r="K14" s="78">
        <f t="shared" ref="K14:K45" si="0">+I14-J14</f>
        <v>0</v>
      </c>
    </row>
    <row r="15" spans="1:11" ht="12.75" customHeight="1" x14ac:dyDescent="0.25">
      <c r="A15" s="89">
        <v>42801</v>
      </c>
      <c r="B15" s="270" t="s">
        <v>252</v>
      </c>
      <c r="C15" s="64">
        <v>39</v>
      </c>
      <c r="D15" s="64">
        <v>353</v>
      </c>
      <c r="E15" s="44" t="s">
        <v>499</v>
      </c>
      <c r="F15" s="49"/>
      <c r="G15" s="44" t="s">
        <v>150</v>
      </c>
      <c r="H15" s="49"/>
      <c r="I15" s="271">
        <v>4858</v>
      </c>
      <c r="J15" s="271">
        <v>4858</v>
      </c>
      <c r="K15" s="78">
        <f t="shared" si="0"/>
        <v>0</v>
      </c>
    </row>
    <row r="16" spans="1:11" ht="12.75" customHeight="1" x14ac:dyDescent="0.25">
      <c r="A16" s="89">
        <v>42801</v>
      </c>
      <c r="B16" s="270" t="s">
        <v>253</v>
      </c>
      <c r="C16" s="64">
        <v>39</v>
      </c>
      <c r="D16" s="64">
        <v>354</v>
      </c>
      <c r="E16" s="44" t="s">
        <v>500</v>
      </c>
      <c r="F16" s="49"/>
      <c r="G16" s="44" t="s">
        <v>150</v>
      </c>
      <c r="H16" s="49"/>
      <c r="I16" s="271">
        <v>345229</v>
      </c>
      <c r="J16" s="271">
        <v>345229</v>
      </c>
      <c r="K16" s="78">
        <f t="shared" si="0"/>
        <v>0</v>
      </c>
    </row>
    <row r="17" spans="1:11" ht="12.75" customHeight="1" x14ac:dyDescent="0.25">
      <c r="A17" s="89">
        <v>42801</v>
      </c>
      <c r="B17" s="270" t="s">
        <v>254</v>
      </c>
      <c r="C17" s="64">
        <v>39</v>
      </c>
      <c r="D17" s="64">
        <v>355</v>
      </c>
      <c r="E17" s="44" t="s">
        <v>501</v>
      </c>
      <c r="F17" s="49"/>
      <c r="G17" s="44" t="s">
        <v>150</v>
      </c>
      <c r="H17" s="49"/>
      <c r="I17" s="271">
        <v>4858</v>
      </c>
      <c r="J17" s="271">
        <v>4858</v>
      </c>
      <c r="K17" s="78">
        <f t="shared" si="0"/>
        <v>0</v>
      </c>
    </row>
    <row r="18" spans="1:11" ht="12.75" customHeight="1" x14ac:dyDescent="0.25">
      <c r="A18" s="89">
        <v>42801</v>
      </c>
      <c r="B18" s="270" t="s">
        <v>255</v>
      </c>
      <c r="C18" s="64">
        <v>39</v>
      </c>
      <c r="D18" s="64">
        <v>356</v>
      </c>
      <c r="E18" s="44" t="s">
        <v>502</v>
      </c>
      <c r="F18" s="49"/>
      <c r="G18" s="44" t="s">
        <v>150</v>
      </c>
      <c r="H18" s="49"/>
      <c r="I18" s="271">
        <v>183010</v>
      </c>
      <c r="J18" s="271">
        <v>183010</v>
      </c>
      <c r="K18" s="78">
        <f t="shared" si="0"/>
        <v>0</v>
      </c>
    </row>
    <row r="19" spans="1:11" ht="12.75" customHeight="1" x14ac:dyDescent="0.25">
      <c r="A19" s="89">
        <v>42803</v>
      </c>
      <c r="B19" s="270" t="s">
        <v>256</v>
      </c>
      <c r="C19" s="64">
        <v>39</v>
      </c>
      <c r="D19" s="64">
        <v>376</v>
      </c>
      <c r="E19" s="44" t="s">
        <v>503</v>
      </c>
      <c r="F19" s="49"/>
      <c r="G19" s="99" t="s">
        <v>150</v>
      </c>
      <c r="H19" s="49"/>
      <c r="I19" s="271">
        <v>182919</v>
      </c>
      <c r="J19" s="271">
        <v>182919</v>
      </c>
      <c r="K19" s="78">
        <f t="shared" si="0"/>
        <v>0</v>
      </c>
    </row>
    <row r="20" spans="1:11" ht="12.75" customHeight="1" x14ac:dyDescent="0.25">
      <c r="A20" s="89">
        <v>42803</v>
      </c>
      <c r="B20" s="270" t="s">
        <v>257</v>
      </c>
      <c r="C20" s="64">
        <v>39</v>
      </c>
      <c r="D20" s="64">
        <v>377</v>
      </c>
      <c r="E20" s="44" t="s">
        <v>504</v>
      </c>
      <c r="F20" s="66"/>
      <c r="G20" s="44" t="s">
        <v>150</v>
      </c>
      <c r="H20" s="66"/>
      <c r="I20" s="272">
        <v>67319</v>
      </c>
      <c r="J20" s="272">
        <v>67319</v>
      </c>
      <c r="K20" s="78">
        <f t="shared" si="0"/>
        <v>0</v>
      </c>
    </row>
    <row r="21" spans="1:11" ht="12.75" customHeight="1" x14ac:dyDescent="0.25">
      <c r="A21" s="89">
        <v>42803</v>
      </c>
      <c r="B21" s="270" t="s">
        <v>258</v>
      </c>
      <c r="C21" s="64">
        <v>39</v>
      </c>
      <c r="D21" s="64">
        <v>378</v>
      </c>
      <c r="E21" s="99" t="s">
        <v>505</v>
      </c>
      <c r="F21" s="66"/>
      <c r="G21" s="65" t="s">
        <v>150</v>
      </c>
      <c r="H21" s="66"/>
      <c r="I21" s="273">
        <v>4858</v>
      </c>
      <c r="J21" s="273">
        <v>4858</v>
      </c>
      <c r="K21" s="78">
        <f t="shared" si="0"/>
        <v>0</v>
      </c>
    </row>
    <row r="22" spans="1:11" ht="12.75" customHeight="1" x14ac:dyDescent="0.25">
      <c r="A22" s="89">
        <v>42807</v>
      </c>
      <c r="B22" s="270" t="s">
        <v>259</v>
      </c>
      <c r="C22" s="64">
        <v>39</v>
      </c>
      <c r="D22" s="64">
        <v>395</v>
      </c>
      <c r="E22" s="44" t="s">
        <v>506</v>
      </c>
      <c r="F22" s="66"/>
      <c r="G22" s="65" t="s">
        <v>150</v>
      </c>
      <c r="H22" s="66"/>
      <c r="I22" s="273">
        <v>781749</v>
      </c>
      <c r="J22" s="273">
        <v>781749</v>
      </c>
      <c r="K22" s="78">
        <f t="shared" si="0"/>
        <v>0</v>
      </c>
    </row>
    <row r="23" spans="1:11" ht="12.75" customHeight="1" x14ac:dyDescent="0.25">
      <c r="A23" s="89">
        <v>42857</v>
      </c>
      <c r="B23" s="270" t="s">
        <v>389</v>
      </c>
      <c r="C23" s="64">
        <v>39</v>
      </c>
      <c r="D23" s="64">
        <v>601</v>
      </c>
      <c r="E23" s="44" t="s">
        <v>507</v>
      </c>
      <c r="F23" s="66"/>
      <c r="G23" s="65" t="s">
        <v>150</v>
      </c>
      <c r="H23" s="66"/>
      <c r="I23" s="273">
        <v>342430</v>
      </c>
      <c r="J23" s="273">
        <v>342430</v>
      </c>
      <c r="K23" s="78">
        <f t="shared" si="0"/>
        <v>0</v>
      </c>
    </row>
    <row r="24" spans="1:11" ht="12.75" customHeight="1" x14ac:dyDescent="0.25">
      <c r="A24" s="89">
        <v>42857</v>
      </c>
      <c r="B24" s="270" t="s">
        <v>390</v>
      </c>
      <c r="C24" s="64">
        <v>39</v>
      </c>
      <c r="D24" s="64">
        <v>602</v>
      </c>
      <c r="E24" s="44" t="s">
        <v>508</v>
      </c>
      <c r="F24" s="66"/>
      <c r="G24" s="65" t="s">
        <v>150</v>
      </c>
      <c r="H24" s="66"/>
      <c r="I24" s="273">
        <v>65490</v>
      </c>
      <c r="J24" s="273">
        <v>65490</v>
      </c>
      <c r="K24" s="78">
        <f t="shared" si="0"/>
        <v>0</v>
      </c>
    </row>
    <row r="25" spans="1:11" ht="12.75" customHeight="1" x14ac:dyDescent="0.25">
      <c r="A25" s="89">
        <v>42857</v>
      </c>
      <c r="B25" s="270" t="s">
        <v>391</v>
      </c>
      <c r="C25" s="64">
        <v>39</v>
      </c>
      <c r="D25" s="64">
        <v>603</v>
      </c>
      <c r="E25" s="44" t="s">
        <v>509</v>
      </c>
      <c r="F25" s="66"/>
      <c r="G25" s="65" t="s">
        <v>150</v>
      </c>
      <c r="H25" s="66"/>
      <c r="I25" s="273">
        <v>969220</v>
      </c>
      <c r="J25" s="273">
        <v>969220</v>
      </c>
      <c r="K25" s="78">
        <f t="shared" si="0"/>
        <v>0</v>
      </c>
    </row>
    <row r="26" spans="1:11" ht="12.75" customHeight="1" x14ac:dyDescent="0.25">
      <c r="A26" s="89">
        <v>42857</v>
      </c>
      <c r="B26" s="270" t="s">
        <v>392</v>
      </c>
      <c r="C26" s="64">
        <v>39</v>
      </c>
      <c r="D26" s="64">
        <v>604</v>
      </c>
      <c r="E26" s="44" t="s">
        <v>510</v>
      </c>
      <c r="F26" s="66"/>
      <c r="G26" s="65" t="s">
        <v>150</v>
      </c>
      <c r="H26" s="66"/>
      <c r="I26" s="273">
        <v>65490</v>
      </c>
      <c r="J26" s="273">
        <v>65490</v>
      </c>
      <c r="K26" s="78">
        <f t="shared" si="0"/>
        <v>0</v>
      </c>
    </row>
    <row r="27" spans="1:11" ht="12.75" customHeight="1" x14ac:dyDescent="0.25">
      <c r="A27" s="89">
        <v>42860</v>
      </c>
      <c r="B27" s="270" t="s">
        <v>393</v>
      </c>
      <c r="C27" s="64">
        <v>39</v>
      </c>
      <c r="D27" s="64">
        <v>623</v>
      </c>
      <c r="E27" s="44" t="s">
        <v>511</v>
      </c>
      <c r="F27" s="66"/>
      <c r="G27" s="65" t="s">
        <v>150</v>
      </c>
      <c r="H27" s="66"/>
      <c r="I27" s="273">
        <v>65490</v>
      </c>
      <c r="J27" s="273">
        <v>65490</v>
      </c>
      <c r="K27" s="78">
        <f t="shared" si="0"/>
        <v>0</v>
      </c>
    </row>
    <row r="28" spans="1:11" ht="12.75" customHeight="1" x14ac:dyDescent="0.25">
      <c r="A28" s="89">
        <v>42860</v>
      </c>
      <c r="B28" s="270" t="s">
        <v>394</v>
      </c>
      <c r="C28" s="64">
        <v>39</v>
      </c>
      <c r="D28" s="64">
        <v>624</v>
      </c>
      <c r="E28" s="44" t="s">
        <v>512</v>
      </c>
      <c r="F28" s="66"/>
      <c r="G28" s="65" t="s">
        <v>150</v>
      </c>
      <c r="H28" s="66"/>
      <c r="I28" s="273">
        <v>180420</v>
      </c>
      <c r="J28" s="273">
        <v>180420</v>
      </c>
      <c r="K28" s="78">
        <f t="shared" si="0"/>
        <v>0</v>
      </c>
    </row>
    <row r="29" spans="1:11" ht="12.75" customHeight="1" x14ac:dyDescent="0.25">
      <c r="A29" s="89">
        <v>42863</v>
      </c>
      <c r="B29" s="270" t="s">
        <v>395</v>
      </c>
      <c r="C29" s="64">
        <v>39</v>
      </c>
      <c r="D29" s="64">
        <v>627</v>
      </c>
      <c r="E29" s="44" t="s">
        <v>513</v>
      </c>
      <c r="F29" s="66"/>
      <c r="G29" s="65" t="s">
        <v>150</v>
      </c>
      <c r="H29" s="66"/>
      <c r="I29" s="273">
        <v>65490</v>
      </c>
      <c r="J29" s="273">
        <v>65490</v>
      </c>
      <c r="K29" s="78">
        <f t="shared" si="0"/>
        <v>0</v>
      </c>
    </row>
    <row r="30" spans="1:11" ht="12.75" customHeight="1" x14ac:dyDescent="0.25">
      <c r="A30" s="89">
        <v>42863</v>
      </c>
      <c r="B30" s="270" t="s">
        <v>396</v>
      </c>
      <c r="C30" s="64">
        <v>39</v>
      </c>
      <c r="D30" s="64">
        <v>628</v>
      </c>
      <c r="E30" s="44" t="s">
        <v>514</v>
      </c>
      <c r="F30" s="66"/>
      <c r="G30" s="65" t="s">
        <v>150</v>
      </c>
      <c r="H30" s="66"/>
      <c r="I30" s="273">
        <v>61593</v>
      </c>
      <c r="J30" s="273">
        <v>61593</v>
      </c>
      <c r="K30" s="78">
        <f t="shared" si="0"/>
        <v>0</v>
      </c>
    </row>
    <row r="31" spans="1:11" ht="12.75" customHeight="1" x14ac:dyDescent="0.25">
      <c r="A31" s="89">
        <v>42863</v>
      </c>
      <c r="B31" s="270" t="s">
        <v>397</v>
      </c>
      <c r="C31" s="64">
        <v>39</v>
      </c>
      <c r="D31" s="64">
        <v>636</v>
      </c>
      <c r="E31" s="44" t="s">
        <v>515</v>
      </c>
      <c r="F31" s="66"/>
      <c r="G31" s="65" t="s">
        <v>150</v>
      </c>
      <c r="H31" s="66"/>
      <c r="I31" s="273">
        <v>65490</v>
      </c>
      <c r="J31" s="273">
        <v>65490</v>
      </c>
      <c r="K31" s="78">
        <f t="shared" si="0"/>
        <v>0</v>
      </c>
    </row>
    <row r="32" spans="1:11" ht="12.75" customHeight="1" x14ac:dyDescent="0.25">
      <c r="A32" s="89">
        <v>42906</v>
      </c>
      <c r="B32" s="270" t="s">
        <v>575</v>
      </c>
      <c r="C32" s="64">
        <v>39</v>
      </c>
      <c r="D32" s="64">
        <v>777</v>
      </c>
      <c r="E32" s="44" t="s">
        <v>583</v>
      </c>
      <c r="F32" s="66"/>
      <c r="G32" s="65" t="s">
        <v>150</v>
      </c>
      <c r="H32" s="66"/>
      <c r="I32" s="273">
        <v>74640</v>
      </c>
      <c r="J32" s="273">
        <v>74640</v>
      </c>
      <c r="K32" s="78">
        <f t="shared" si="0"/>
        <v>0</v>
      </c>
    </row>
    <row r="33" spans="1:11" ht="12.75" customHeight="1" x14ac:dyDescent="0.25">
      <c r="A33" s="89">
        <v>42906</v>
      </c>
      <c r="B33" s="270" t="s">
        <v>576</v>
      </c>
      <c r="C33" s="64">
        <v>39</v>
      </c>
      <c r="D33" s="64">
        <v>778</v>
      </c>
      <c r="E33" s="44" t="s">
        <v>584</v>
      </c>
      <c r="F33" s="66"/>
      <c r="G33" s="65" t="s">
        <v>150</v>
      </c>
      <c r="H33" s="66"/>
      <c r="I33" s="273">
        <v>1035050</v>
      </c>
      <c r="J33" s="273">
        <v>1035050</v>
      </c>
      <c r="K33" s="78">
        <f t="shared" si="0"/>
        <v>0</v>
      </c>
    </row>
    <row r="34" spans="1:11" ht="12.75" customHeight="1" x14ac:dyDescent="0.25">
      <c r="A34" s="89">
        <v>42906</v>
      </c>
      <c r="B34" s="270" t="s">
        <v>577</v>
      </c>
      <c r="C34" s="64">
        <v>39</v>
      </c>
      <c r="D34" s="64">
        <v>779</v>
      </c>
      <c r="E34" s="44" t="s">
        <v>585</v>
      </c>
      <c r="F34" s="66"/>
      <c r="G34" s="65" t="s">
        <v>150</v>
      </c>
      <c r="H34" s="66"/>
      <c r="I34" s="273">
        <v>74640</v>
      </c>
      <c r="J34" s="273">
        <v>74640</v>
      </c>
      <c r="K34" s="78">
        <f t="shared" si="0"/>
        <v>0</v>
      </c>
    </row>
    <row r="35" spans="1:11" ht="12.75" customHeight="1" x14ac:dyDescent="0.25">
      <c r="A35" s="89">
        <v>42906</v>
      </c>
      <c r="B35" s="270" t="s">
        <v>578</v>
      </c>
      <c r="C35" s="64">
        <v>39</v>
      </c>
      <c r="D35" s="64">
        <v>780</v>
      </c>
      <c r="E35" s="44" t="s">
        <v>586</v>
      </c>
      <c r="F35" s="66"/>
      <c r="G35" s="65" t="s">
        <v>150</v>
      </c>
      <c r="H35" s="66"/>
      <c r="I35" s="273">
        <v>284853</v>
      </c>
      <c r="J35" s="273">
        <v>284853</v>
      </c>
      <c r="K35" s="78">
        <f t="shared" si="0"/>
        <v>0</v>
      </c>
    </row>
    <row r="36" spans="1:11" ht="12.75" customHeight="1" x14ac:dyDescent="0.25">
      <c r="A36" s="89">
        <v>42909</v>
      </c>
      <c r="B36" s="270" t="s">
        <v>579</v>
      </c>
      <c r="C36" s="64">
        <v>39</v>
      </c>
      <c r="D36" s="64">
        <v>792</v>
      </c>
      <c r="E36" s="44" t="s">
        <v>587</v>
      </c>
      <c r="F36" s="66"/>
      <c r="G36" s="65" t="s">
        <v>150</v>
      </c>
      <c r="H36" s="66"/>
      <c r="I36" s="273">
        <v>74640</v>
      </c>
      <c r="J36" s="273">
        <v>74640</v>
      </c>
      <c r="K36" s="78">
        <f t="shared" si="0"/>
        <v>0</v>
      </c>
    </row>
    <row r="37" spans="1:11" ht="12.75" customHeight="1" x14ac:dyDescent="0.25">
      <c r="A37" s="89">
        <v>42909</v>
      </c>
      <c r="B37" s="270" t="s">
        <v>580</v>
      </c>
      <c r="C37" s="64">
        <v>39</v>
      </c>
      <c r="D37" s="64">
        <v>793</v>
      </c>
      <c r="E37" s="44" t="s">
        <v>588</v>
      </c>
      <c r="F37" s="66"/>
      <c r="G37" s="65" t="s">
        <v>150</v>
      </c>
      <c r="H37" s="66"/>
      <c r="I37" s="273">
        <v>74640</v>
      </c>
      <c r="J37" s="273">
        <v>74640</v>
      </c>
      <c r="K37" s="78">
        <f t="shared" si="0"/>
        <v>0</v>
      </c>
    </row>
    <row r="38" spans="1:11" ht="12.75" customHeight="1" x14ac:dyDescent="0.25">
      <c r="A38" s="89">
        <v>42909</v>
      </c>
      <c r="B38" s="270" t="s">
        <v>581</v>
      </c>
      <c r="C38" s="64">
        <v>39</v>
      </c>
      <c r="D38" s="64">
        <v>794</v>
      </c>
      <c r="E38" s="44" t="s">
        <v>589</v>
      </c>
      <c r="F38" s="66"/>
      <c r="G38" s="65" t="s">
        <v>150</v>
      </c>
      <c r="H38" s="66"/>
      <c r="I38" s="273">
        <v>194380</v>
      </c>
      <c r="J38" s="273">
        <v>194380</v>
      </c>
      <c r="K38" s="78">
        <f t="shared" si="0"/>
        <v>0</v>
      </c>
    </row>
    <row r="39" spans="1:11" ht="12.75" customHeight="1" x14ac:dyDescent="0.25">
      <c r="A39" s="89">
        <v>42913</v>
      </c>
      <c r="B39" s="270" t="s">
        <v>582</v>
      </c>
      <c r="C39" s="64">
        <v>39</v>
      </c>
      <c r="D39" s="64">
        <v>802</v>
      </c>
      <c r="E39" s="44" t="s">
        <v>590</v>
      </c>
      <c r="F39" s="66"/>
      <c r="G39" s="65" t="s">
        <v>150</v>
      </c>
      <c r="H39" s="66"/>
      <c r="I39" s="273">
        <v>831400</v>
      </c>
      <c r="J39" s="273">
        <v>831400</v>
      </c>
      <c r="K39" s="78">
        <f t="shared" si="0"/>
        <v>0</v>
      </c>
    </row>
    <row r="40" spans="1:11" ht="12.75" customHeight="1" x14ac:dyDescent="0.25">
      <c r="A40" s="89">
        <v>42970</v>
      </c>
      <c r="B40" s="270" t="s">
        <v>784</v>
      </c>
      <c r="C40" s="64">
        <v>39</v>
      </c>
      <c r="D40" s="64">
        <v>916</v>
      </c>
      <c r="E40" s="44" t="s">
        <v>791</v>
      </c>
      <c r="F40" s="66"/>
      <c r="G40" s="65" t="s">
        <v>150</v>
      </c>
      <c r="H40" s="66"/>
      <c r="I40" s="273">
        <v>69880</v>
      </c>
      <c r="J40" s="273">
        <v>69880</v>
      </c>
      <c r="K40" s="78">
        <f t="shared" si="0"/>
        <v>0</v>
      </c>
    </row>
    <row r="41" spans="1:11" ht="12.75" customHeight="1" x14ac:dyDescent="0.25">
      <c r="A41" s="89">
        <v>42970</v>
      </c>
      <c r="B41" s="270" t="s">
        <v>785</v>
      </c>
      <c r="C41" s="64">
        <v>39</v>
      </c>
      <c r="D41" s="64">
        <v>918</v>
      </c>
      <c r="E41" s="44" t="s">
        <v>792</v>
      </c>
      <c r="F41" s="66"/>
      <c r="G41" s="65" t="s">
        <v>150</v>
      </c>
      <c r="H41" s="66"/>
      <c r="I41" s="273">
        <v>182130</v>
      </c>
      <c r="J41" s="273">
        <v>182130</v>
      </c>
      <c r="K41" s="78">
        <f t="shared" si="0"/>
        <v>0</v>
      </c>
    </row>
    <row r="42" spans="1:11" ht="12.75" customHeight="1" x14ac:dyDescent="0.25">
      <c r="A42" s="89">
        <v>42971</v>
      </c>
      <c r="B42" s="270" t="s">
        <v>786</v>
      </c>
      <c r="C42" s="64">
        <v>39</v>
      </c>
      <c r="D42" s="64">
        <v>923</v>
      </c>
      <c r="E42" s="44" t="s">
        <v>793</v>
      </c>
      <c r="F42" s="66"/>
      <c r="G42" s="65" t="s">
        <v>150</v>
      </c>
      <c r="H42" s="66"/>
      <c r="I42" s="273">
        <v>69880</v>
      </c>
      <c r="J42" s="273">
        <v>69880</v>
      </c>
      <c r="K42" s="78">
        <f t="shared" si="0"/>
        <v>0</v>
      </c>
    </row>
    <row r="43" spans="1:11" ht="12.75" customHeight="1" x14ac:dyDescent="0.25">
      <c r="A43" s="89">
        <v>42971</v>
      </c>
      <c r="B43" s="270" t="s">
        <v>787</v>
      </c>
      <c r="C43" s="64">
        <v>39</v>
      </c>
      <c r="D43" s="64">
        <v>924</v>
      </c>
      <c r="E43" s="44" t="s">
        <v>794</v>
      </c>
      <c r="F43" s="66"/>
      <c r="G43" s="65" t="s">
        <v>150</v>
      </c>
      <c r="H43" s="66"/>
      <c r="I43" s="273">
        <v>977090</v>
      </c>
      <c r="J43" s="273">
        <v>977090</v>
      </c>
      <c r="K43" s="78">
        <f t="shared" si="0"/>
        <v>0</v>
      </c>
    </row>
    <row r="44" spans="1:11" ht="12.75" customHeight="1" x14ac:dyDescent="0.25">
      <c r="A44" s="89">
        <v>42971</v>
      </c>
      <c r="B44" s="270" t="s">
        <v>788</v>
      </c>
      <c r="C44" s="64">
        <v>39</v>
      </c>
      <c r="D44" s="64">
        <v>925</v>
      </c>
      <c r="E44" s="44" t="s">
        <v>795</v>
      </c>
      <c r="F44" s="66"/>
      <c r="G44" s="65" t="s">
        <v>150</v>
      </c>
      <c r="H44" s="66"/>
      <c r="I44" s="273">
        <v>69880</v>
      </c>
      <c r="J44" s="273">
        <v>69880</v>
      </c>
      <c r="K44" s="78">
        <f t="shared" si="0"/>
        <v>0</v>
      </c>
    </row>
    <row r="45" spans="1:11" ht="12.75" customHeight="1" x14ac:dyDescent="0.25">
      <c r="A45" s="89">
        <v>42971</v>
      </c>
      <c r="B45" s="270" t="s">
        <v>789</v>
      </c>
      <c r="C45" s="64">
        <v>39</v>
      </c>
      <c r="D45" s="64">
        <v>926</v>
      </c>
      <c r="E45" s="44" t="s">
        <v>796</v>
      </c>
      <c r="F45" s="66"/>
      <c r="G45" s="65" t="s">
        <v>150</v>
      </c>
      <c r="H45" s="66"/>
      <c r="I45" s="273">
        <v>784520</v>
      </c>
      <c r="J45" s="273">
        <v>784520</v>
      </c>
      <c r="K45" s="78">
        <f t="shared" si="0"/>
        <v>0</v>
      </c>
    </row>
    <row r="46" spans="1:11" ht="12.75" customHeight="1" x14ac:dyDescent="0.25">
      <c r="A46" s="89">
        <v>42971</v>
      </c>
      <c r="B46" s="270" t="s">
        <v>790</v>
      </c>
      <c r="C46" s="64">
        <v>39</v>
      </c>
      <c r="D46" s="64">
        <v>927</v>
      </c>
      <c r="E46" s="44" t="s">
        <v>797</v>
      </c>
      <c r="F46" s="66"/>
      <c r="G46" s="65" t="s">
        <v>150</v>
      </c>
      <c r="H46" s="66"/>
      <c r="I46" s="273">
        <v>279137</v>
      </c>
      <c r="J46" s="273">
        <v>279137</v>
      </c>
      <c r="K46" s="78">
        <f t="shared" ref="K46:K56" si="1">+I46-J46</f>
        <v>0</v>
      </c>
    </row>
    <row r="47" spans="1:11" ht="12.75" customHeight="1" x14ac:dyDescent="0.25">
      <c r="A47" s="89">
        <v>42983</v>
      </c>
      <c r="B47" s="270" t="s">
        <v>822</v>
      </c>
      <c r="C47" s="64">
        <v>39</v>
      </c>
      <c r="D47" s="64">
        <v>949</v>
      </c>
      <c r="E47" s="44" t="s">
        <v>826</v>
      </c>
      <c r="F47" s="66"/>
      <c r="G47" s="65" t="s">
        <v>150</v>
      </c>
      <c r="H47" s="66"/>
      <c r="I47" s="273">
        <v>147090</v>
      </c>
      <c r="J47" s="273">
        <v>147090</v>
      </c>
      <c r="K47" s="78">
        <f t="shared" si="1"/>
        <v>0</v>
      </c>
    </row>
    <row r="48" spans="1:11" ht="12.75" customHeight="1" x14ac:dyDescent="0.25">
      <c r="A48" s="89">
        <v>42983</v>
      </c>
      <c r="B48" s="270" t="s">
        <v>823</v>
      </c>
      <c r="C48" s="64">
        <v>39</v>
      </c>
      <c r="D48" s="64">
        <v>950</v>
      </c>
      <c r="E48" s="44" t="s">
        <v>827</v>
      </c>
      <c r="F48" s="66"/>
      <c r="G48" s="65" t="s">
        <v>150</v>
      </c>
      <c r="H48" s="66"/>
      <c r="I48" s="273">
        <v>69880</v>
      </c>
      <c r="J48" s="273">
        <v>69880</v>
      </c>
      <c r="K48" s="78">
        <f t="shared" si="1"/>
        <v>0</v>
      </c>
    </row>
    <row r="49" spans="1:11" ht="12.75" customHeight="1" x14ac:dyDescent="0.25">
      <c r="A49" s="89">
        <v>42983</v>
      </c>
      <c r="B49" s="270" t="s">
        <v>824</v>
      </c>
      <c r="C49" s="64">
        <v>39</v>
      </c>
      <c r="D49" s="64">
        <v>951</v>
      </c>
      <c r="E49" s="44" t="s">
        <v>828</v>
      </c>
      <c r="F49" s="66"/>
      <c r="G49" s="65" t="s">
        <v>150</v>
      </c>
      <c r="H49" s="66"/>
      <c r="I49" s="273">
        <v>147090</v>
      </c>
      <c r="J49" s="273">
        <v>147090</v>
      </c>
      <c r="K49" s="78">
        <f t="shared" si="1"/>
        <v>0</v>
      </c>
    </row>
    <row r="50" spans="1:11" ht="12.75" customHeight="1" x14ac:dyDescent="0.25">
      <c r="A50" s="89">
        <v>42984</v>
      </c>
      <c r="B50" s="270" t="s">
        <v>825</v>
      </c>
      <c r="C50" s="64">
        <v>39</v>
      </c>
      <c r="D50" s="64">
        <v>957</v>
      </c>
      <c r="E50" s="44" t="s">
        <v>829</v>
      </c>
      <c r="F50" s="66"/>
      <c r="G50" s="65" t="s">
        <v>150</v>
      </c>
      <c r="H50" s="66"/>
      <c r="I50" s="273">
        <v>69880</v>
      </c>
      <c r="J50" s="273">
        <v>69880</v>
      </c>
      <c r="K50" s="78">
        <f t="shared" si="1"/>
        <v>0</v>
      </c>
    </row>
    <row r="51" spans="1:11" ht="12.75" customHeight="1" x14ac:dyDescent="0.25">
      <c r="A51" s="89">
        <v>43031</v>
      </c>
      <c r="B51" s="270" t="s">
        <v>1112</v>
      </c>
      <c r="C51" s="64">
        <v>39</v>
      </c>
      <c r="D51" s="64">
        <v>1190</v>
      </c>
      <c r="E51" s="44" t="s">
        <v>1117</v>
      </c>
      <c r="F51" s="66"/>
      <c r="G51" s="65" t="s">
        <v>150</v>
      </c>
      <c r="H51" s="66"/>
      <c r="I51" s="273">
        <v>132790</v>
      </c>
      <c r="J51" s="273">
        <v>132790</v>
      </c>
      <c r="K51" s="78">
        <f t="shared" si="1"/>
        <v>0</v>
      </c>
    </row>
    <row r="52" spans="1:11" ht="12.75" customHeight="1" x14ac:dyDescent="0.25">
      <c r="A52" s="89">
        <v>43031</v>
      </c>
      <c r="B52" s="270" t="s">
        <v>1113</v>
      </c>
      <c r="C52" s="64">
        <v>39</v>
      </c>
      <c r="D52" s="64">
        <v>1193</v>
      </c>
      <c r="E52" s="44" t="s">
        <v>1118</v>
      </c>
      <c r="F52" s="66"/>
      <c r="G52" s="65" t="s">
        <v>150</v>
      </c>
      <c r="H52" s="66"/>
      <c r="I52" s="273">
        <v>195610</v>
      </c>
      <c r="J52" s="273">
        <v>195610</v>
      </c>
      <c r="K52" s="78">
        <f t="shared" si="1"/>
        <v>0</v>
      </c>
    </row>
    <row r="53" spans="1:11" ht="12.75" customHeight="1" x14ac:dyDescent="0.25">
      <c r="A53" s="89">
        <v>43031</v>
      </c>
      <c r="B53" s="270" t="s">
        <v>1114</v>
      </c>
      <c r="C53" s="64">
        <v>39</v>
      </c>
      <c r="D53" s="64">
        <v>1194</v>
      </c>
      <c r="E53" s="44" t="s">
        <v>1119</v>
      </c>
      <c r="F53" s="66"/>
      <c r="G53" s="65" t="s">
        <v>150</v>
      </c>
      <c r="H53" s="66"/>
      <c r="I53" s="273">
        <v>76090</v>
      </c>
      <c r="J53" s="273">
        <v>76090</v>
      </c>
      <c r="K53" s="78">
        <f t="shared" si="1"/>
        <v>0</v>
      </c>
    </row>
    <row r="54" spans="1:11" ht="12.75" customHeight="1" x14ac:dyDescent="0.25">
      <c r="A54" s="89">
        <v>43031</v>
      </c>
      <c r="B54" s="270" t="s">
        <v>1115</v>
      </c>
      <c r="C54" s="64">
        <v>39</v>
      </c>
      <c r="D54" s="64">
        <v>1195</v>
      </c>
      <c r="E54" s="44" t="s">
        <v>1120</v>
      </c>
      <c r="F54" s="66"/>
      <c r="G54" s="65" t="s">
        <v>150</v>
      </c>
      <c r="H54" s="66"/>
      <c r="I54" s="273">
        <v>1038260</v>
      </c>
      <c r="J54" s="273">
        <v>1038260</v>
      </c>
      <c r="K54" s="78">
        <f t="shared" si="1"/>
        <v>0</v>
      </c>
    </row>
    <row r="55" spans="1:11" ht="12.75" customHeight="1" x14ac:dyDescent="0.25">
      <c r="A55" s="89">
        <v>43031</v>
      </c>
      <c r="B55" s="270" t="s">
        <v>1116</v>
      </c>
      <c r="C55" s="64">
        <v>39</v>
      </c>
      <c r="D55" s="64">
        <v>1197</v>
      </c>
      <c r="E55" s="44" t="s">
        <v>1121</v>
      </c>
      <c r="F55" s="66"/>
      <c r="G55" s="65" t="s">
        <v>150</v>
      </c>
      <c r="H55" s="66"/>
      <c r="I55" s="273">
        <v>76090</v>
      </c>
      <c r="J55" s="273">
        <v>76090</v>
      </c>
      <c r="K55" s="78">
        <f t="shared" si="1"/>
        <v>0</v>
      </c>
    </row>
    <row r="56" spans="1:11" ht="12.75" customHeight="1" x14ac:dyDescent="0.25">
      <c r="A56" s="89">
        <v>43035</v>
      </c>
      <c r="B56" s="270" t="s">
        <v>1152</v>
      </c>
      <c r="C56" s="64">
        <v>39</v>
      </c>
      <c r="D56" s="64">
        <v>1226</v>
      </c>
      <c r="E56" s="44" t="s">
        <v>1153</v>
      </c>
      <c r="F56" s="66"/>
      <c r="G56" s="65" t="s">
        <v>150</v>
      </c>
      <c r="H56" s="66"/>
      <c r="I56" s="273">
        <v>76090</v>
      </c>
      <c r="J56" s="273">
        <v>76090</v>
      </c>
      <c r="K56" s="78">
        <f t="shared" si="1"/>
        <v>0</v>
      </c>
    </row>
    <row r="57" spans="1:11" ht="12.75" customHeight="1" x14ac:dyDescent="0.25">
      <c r="A57" s="89"/>
      <c r="B57" s="270"/>
      <c r="C57" s="64"/>
      <c r="D57" s="64"/>
      <c r="E57" s="44"/>
      <c r="F57" s="66"/>
      <c r="G57" s="65"/>
      <c r="H57" s="66"/>
      <c r="I57" s="273"/>
      <c r="J57" s="273"/>
      <c r="K57" s="78"/>
    </row>
    <row r="58" spans="1:11" ht="12.75" customHeight="1" x14ac:dyDescent="0.25">
      <c r="A58" s="89"/>
      <c r="B58" s="270"/>
      <c r="C58" s="64"/>
      <c r="D58" s="64"/>
      <c r="E58" s="44"/>
      <c r="F58" s="66"/>
      <c r="G58" s="65"/>
      <c r="H58" s="66"/>
      <c r="I58" s="273"/>
      <c r="J58" s="273"/>
      <c r="K58" s="78"/>
    </row>
    <row r="59" spans="1:11" x14ac:dyDescent="0.25">
      <c r="A59" s="55"/>
      <c r="B59" s="56"/>
      <c r="C59" s="56"/>
      <c r="D59" s="56"/>
      <c r="E59" s="56"/>
      <c r="F59" s="56"/>
      <c r="G59" s="527" t="s">
        <v>132</v>
      </c>
      <c r="H59" s="528"/>
      <c r="I59" s="83">
        <f>SUM(I13:I58)</f>
        <v>11407122</v>
      </c>
      <c r="J59" s="83">
        <f>SUM(J13:J58)</f>
        <v>11407122</v>
      </c>
      <c r="K59" s="83">
        <f>SUM(K13:K58)</f>
        <v>0</v>
      </c>
    </row>
    <row r="60" spans="1:11" ht="12.75" customHeight="1" x14ac:dyDescent="0.25">
      <c r="A60" s="3"/>
      <c r="B60" s="3"/>
      <c r="C60" s="3"/>
      <c r="D60" s="3"/>
      <c r="E60" s="3"/>
      <c r="F60" s="3"/>
      <c r="G60" s="3"/>
      <c r="H60" s="3"/>
      <c r="I60" s="3"/>
      <c r="J60" s="93"/>
      <c r="K60" s="56"/>
    </row>
    <row r="61" spans="1:11" ht="24.95" customHeight="1" x14ac:dyDescent="0.25">
      <c r="A61" s="31" t="s">
        <v>58</v>
      </c>
      <c r="B61" s="31" t="s">
        <v>133</v>
      </c>
      <c r="C61" s="31" t="s">
        <v>30</v>
      </c>
      <c r="D61" s="32" t="s">
        <v>59</v>
      </c>
      <c r="E61" s="31" t="s">
        <v>40</v>
      </c>
      <c r="F61" s="31" t="s">
        <v>62</v>
      </c>
      <c r="G61" s="31" t="s">
        <v>37</v>
      </c>
      <c r="H61" s="31" t="s">
        <v>60</v>
      </c>
      <c r="I61" s="31" t="s">
        <v>61</v>
      </c>
      <c r="J61" s="31" t="s">
        <v>99</v>
      </c>
      <c r="K61" s="31" t="s">
        <v>68</v>
      </c>
    </row>
    <row r="62" spans="1:11" ht="24.95" customHeight="1" x14ac:dyDescent="0.25">
      <c r="A62" s="95">
        <v>55600000</v>
      </c>
      <c r="B62" s="155">
        <v>-40694000</v>
      </c>
      <c r="C62" s="95">
        <v>0</v>
      </c>
      <c r="D62" s="82">
        <f>+A62+B62-C62</f>
        <v>14906000</v>
      </c>
      <c r="E62" s="82">
        <f>+I59</f>
        <v>11407122</v>
      </c>
      <c r="F62" s="72">
        <f>+E62/D62</f>
        <v>0.76527049510264322</v>
      </c>
      <c r="G62" s="82">
        <f>+I9</f>
        <v>499853</v>
      </c>
      <c r="H62" s="82">
        <f>+D62-E62-G62</f>
        <v>2999025</v>
      </c>
      <c r="I62" s="82">
        <f>+J59</f>
        <v>11407122</v>
      </c>
      <c r="J62" s="73">
        <f>+I62/D62</f>
        <v>0.76527049510264322</v>
      </c>
      <c r="K62" s="82">
        <f>+K59</f>
        <v>0</v>
      </c>
    </row>
    <row r="63" spans="1:11" x14ac:dyDescent="0.25">
      <c r="A63" s="74">
        <v>1</v>
      </c>
      <c r="B63" s="74">
        <v>2</v>
      </c>
      <c r="C63" s="74">
        <v>3</v>
      </c>
      <c r="D63" s="74" t="s">
        <v>42</v>
      </c>
      <c r="E63" s="74">
        <v>5</v>
      </c>
      <c r="F63" s="74" t="s">
        <v>69</v>
      </c>
      <c r="G63" s="74">
        <v>7</v>
      </c>
      <c r="H63" s="74" t="s">
        <v>70</v>
      </c>
      <c r="I63" s="74">
        <v>9</v>
      </c>
      <c r="J63" s="74" t="s">
        <v>100</v>
      </c>
      <c r="K63" s="74" t="s">
        <v>101</v>
      </c>
    </row>
    <row r="65" spans="7:7" x14ac:dyDescent="0.25">
      <c r="G65" s="238">
        <f>+G62-499853</f>
        <v>0</v>
      </c>
    </row>
  </sheetData>
  <mergeCells count="15">
    <mergeCell ref="G59:H59"/>
    <mergeCell ref="E11:H11"/>
    <mergeCell ref="E12:F12"/>
    <mergeCell ref="G12:H12"/>
    <mergeCell ref="E5:H5"/>
    <mergeCell ref="E6:H6"/>
    <mergeCell ref="G9:H9"/>
    <mergeCell ref="A5:A6"/>
    <mergeCell ref="J11:J12"/>
    <mergeCell ref="I11:I12"/>
    <mergeCell ref="A11:A12"/>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I8" sqref="I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2" ht="12.75" customHeight="1" x14ac:dyDescent="0.25">
      <c r="A1" s="2" t="s">
        <v>98</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4" t="s">
        <v>113</v>
      </c>
      <c r="B3" s="34" t="s">
        <v>3</v>
      </c>
      <c r="C3" s="34"/>
      <c r="D3" s="34"/>
      <c r="E3" s="35"/>
      <c r="F3" s="35"/>
      <c r="G3" s="35"/>
      <c r="H3" s="35"/>
      <c r="I3" s="35"/>
      <c r="J3" s="35"/>
      <c r="K3" s="489" t="s">
        <v>1161</v>
      </c>
    </row>
    <row r="4" spans="1:12" ht="12.75" customHeight="1" x14ac:dyDescent="0.25">
      <c r="A4" s="3"/>
      <c r="B4" s="3"/>
      <c r="C4" s="3"/>
      <c r="D4" s="3"/>
      <c r="E4" s="3"/>
      <c r="F4" s="3"/>
      <c r="G4" s="3"/>
      <c r="H4" s="3"/>
      <c r="I4" s="3"/>
      <c r="J4" s="37"/>
      <c r="K4" s="38"/>
    </row>
    <row r="5" spans="1:12" x14ac:dyDescent="0.25">
      <c r="A5" s="529" t="s">
        <v>28</v>
      </c>
      <c r="B5" s="531" t="s">
        <v>131</v>
      </c>
      <c r="C5" s="39"/>
      <c r="D5" s="529" t="s">
        <v>71</v>
      </c>
      <c r="E5" s="533" t="s">
        <v>37</v>
      </c>
      <c r="F5" s="534"/>
      <c r="G5" s="534"/>
      <c r="H5" s="535"/>
      <c r="I5" s="529" t="s">
        <v>31</v>
      </c>
      <c r="J5" s="536" t="s">
        <v>41</v>
      </c>
      <c r="K5" s="537"/>
    </row>
    <row r="6" spans="1:12" x14ac:dyDescent="0.25">
      <c r="A6" s="530"/>
      <c r="B6" s="532"/>
      <c r="C6" s="40"/>
      <c r="D6" s="530"/>
      <c r="E6" s="533" t="s">
        <v>33</v>
      </c>
      <c r="F6" s="534"/>
      <c r="G6" s="534"/>
      <c r="H6" s="535"/>
      <c r="I6" s="530"/>
      <c r="J6" s="538"/>
      <c r="K6" s="539"/>
    </row>
    <row r="7" spans="1:12" ht="12.75" customHeight="1" x14ac:dyDescent="0.25">
      <c r="A7" s="48">
        <v>42747</v>
      </c>
      <c r="B7" s="259" t="s">
        <v>165</v>
      </c>
      <c r="C7" s="257"/>
      <c r="D7" s="256">
        <v>42</v>
      </c>
      <c r="E7" s="260" t="s">
        <v>168</v>
      </c>
      <c r="F7" s="258"/>
      <c r="G7" s="157"/>
      <c r="H7" s="158"/>
      <c r="I7" s="261">
        <f>309000000-14859830-15132490-14901880-16673140-13629030-15245390-14648580-14469840-107330670-14626250-13253500-13418220-17885790</f>
        <v>22925390</v>
      </c>
      <c r="J7" s="122" t="s">
        <v>196</v>
      </c>
      <c r="K7" s="39"/>
    </row>
    <row r="8" spans="1:12" x14ac:dyDescent="0.25">
      <c r="A8" s="48"/>
      <c r="B8" s="44"/>
      <c r="C8" s="140"/>
      <c r="D8" s="50"/>
      <c r="E8" s="44"/>
      <c r="F8" s="140"/>
      <c r="G8" s="140"/>
      <c r="H8" s="141"/>
      <c r="I8" s="75"/>
      <c r="J8" s="44"/>
      <c r="K8" s="49"/>
    </row>
    <row r="9" spans="1:12" ht="12.75" customHeight="1" x14ac:dyDescent="0.25">
      <c r="A9" s="48"/>
      <c r="B9" s="53"/>
      <c r="C9" s="54"/>
      <c r="D9" s="44"/>
      <c r="E9" s="44"/>
      <c r="F9" s="37"/>
      <c r="G9" s="51"/>
      <c r="H9" s="52"/>
      <c r="I9" s="76"/>
      <c r="J9" s="44"/>
      <c r="K9" s="49"/>
    </row>
    <row r="10" spans="1:12" x14ac:dyDescent="0.25">
      <c r="A10" s="55"/>
      <c r="B10" s="56"/>
      <c r="C10" s="56"/>
      <c r="D10" s="56"/>
      <c r="E10" s="56"/>
      <c r="F10" s="56"/>
      <c r="G10" s="527" t="s">
        <v>132</v>
      </c>
      <c r="H10" s="528"/>
      <c r="I10" s="77">
        <f>SUM(I7:I9)</f>
        <v>22925390</v>
      </c>
      <c r="J10" s="57"/>
      <c r="K10" s="58"/>
    </row>
    <row r="11" spans="1:12" ht="12.75" customHeight="1" x14ac:dyDescent="0.25">
      <c r="A11" s="3"/>
      <c r="B11" s="3"/>
      <c r="C11" s="3"/>
      <c r="D11" s="3"/>
      <c r="E11" s="3"/>
      <c r="F11" s="3"/>
      <c r="G11" s="3"/>
      <c r="H11" s="3"/>
      <c r="I11" s="3"/>
      <c r="J11" s="37"/>
      <c r="K11" s="49"/>
    </row>
    <row r="12" spans="1:12" x14ac:dyDescent="0.25">
      <c r="A12" s="529" t="s">
        <v>28</v>
      </c>
      <c r="B12" s="30" t="s">
        <v>38</v>
      </c>
      <c r="C12" s="60" t="s">
        <v>34</v>
      </c>
      <c r="D12" s="59" t="s">
        <v>34</v>
      </c>
      <c r="E12" s="533" t="s">
        <v>40</v>
      </c>
      <c r="F12" s="534"/>
      <c r="G12" s="534"/>
      <c r="H12" s="535"/>
      <c r="I12" s="529" t="s">
        <v>31</v>
      </c>
      <c r="J12" s="529" t="s">
        <v>29</v>
      </c>
      <c r="K12" s="60" t="s">
        <v>56</v>
      </c>
    </row>
    <row r="13" spans="1:12" x14ac:dyDescent="0.25">
      <c r="A13" s="530"/>
      <c r="B13" s="61" t="s">
        <v>39</v>
      </c>
      <c r="C13" s="61" t="s">
        <v>36</v>
      </c>
      <c r="D13" s="61" t="s">
        <v>35</v>
      </c>
      <c r="E13" s="533" t="s">
        <v>33</v>
      </c>
      <c r="F13" s="535"/>
      <c r="G13" s="533" t="s">
        <v>32</v>
      </c>
      <c r="H13" s="535"/>
      <c r="I13" s="530"/>
      <c r="J13" s="530"/>
      <c r="K13" s="61" t="s">
        <v>57</v>
      </c>
    </row>
    <row r="14" spans="1:12" ht="12.75" customHeight="1" x14ac:dyDescent="0.25">
      <c r="A14" s="48">
        <v>42752</v>
      </c>
      <c r="B14" s="281" t="s">
        <v>185</v>
      </c>
      <c r="C14" s="132">
        <v>42</v>
      </c>
      <c r="D14" s="132">
        <v>57</v>
      </c>
      <c r="E14" s="44" t="s">
        <v>186</v>
      </c>
      <c r="F14" s="49"/>
      <c r="G14" t="s">
        <v>158</v>
      </c>
      <c r="H14" s="49"/>
      <c r="I14" s="75">
        <v>14859830</v>
      </c>
      <c r="J14" s="75">
        <v>14859830</v>
      </c>
      <c r="K14" s="78">
        <f t="shared" ref="K14:K23" si="0">+I14-J14</f>
        <v>0</v>
      </c>
    </row>
    <row r="15" spans="1:12" x14ac:dyDescent="0.25">
      <c r="A15" s="48">
        <v>42786</v>
      </c>
      <c r="B15" s="282" t="s">
        <v>210</v>
      </c>
      <c r="C15" s="132">
        <v>42</v>
      </c>
      <c r="D15" s="132">
        <v>245</v>
      </c>
      <c r="E15" s="44" t="s">
        <v>516</v>
      </c>
      <c r="F15" s="66"/>
      <c r="G15" s="65" t="s">
        <v>158</v>
      </c>
      <c r="H15" s="66"/>
      <c r="I15" s="75">
        <v>15132490</v>
      </c>
      <c r="J15" s="75">
        <v>15132490</v>
      </c>
      <c r="K15" s="78">
        <f t="shared" si="0"/>
        <v>0</v>
      </c>
      <c r="L15"/>
    </row>
    <row r="16" spans="1:12" x14ac:dyDescent="0.25">
      <c r="A16" s="48">
        <v>42811</v>
      </c>
      <c r="B16" s="282" t="s">
        <v>288</v>
      </c>
      <c r="C16" s="64">
        <v>42</v>
      </c>
      <c r="D16" s="64">
        <v>425</v>
      </c>
      <c r="E16" s="44" t="s">
        <v>289</v>
      </c>
      <c r="F16" s="66"/>
      <c r="G16" s="65" t="s">
        <v>158</v>
      </c>
      <c r="H16" s="66"/>
      <c r="I16" s="75">
        <v>14901880</v>
      </c>
      <c r="J16" s="75">
        <v>14901880</v>
      </c>
      <c r="K16" s="78">
        <f t="shared" si="0"/>
        <v>0</v>
      </c>
      <c r="L16"/>
    </row>
    <row r="17" spans="1:11" x14ac:dyDescent="0.25">
      <c r="A17" s="48">
        <v>42836</v>
      </c>
      <c r="B17" s="282" t="s">
        <v>330</v>
      </c>
      <c r="C17" s="64">
        <v>42</v>
      </c>
      <c r="D17" s="85">
        <v>529</v>
      </c>
      <c r="E17" s="44" t="s">
        <v>331</v>
      </c>
      <c r="F17" s="66"/>
      <c r="G17" s="65" t="s">
        <v>158</v>
      </c>
      <c r="H17" s="66"/>
      <c r="I17" s="78">
        <v>16673140</v>
      </c>
      <c r="J17" s="78">
        <v>16673140</v>
      </c>
      <c r="K17" s="78">
        <f t="shared" si="0"/>
        <v>0</v>
      </c>
    </row>
    <row r="18" spans="1:11" x14ac:dyDescent="0.25">
      <c r="A18" s="48">
        <v>42867</v>
      </c>
      <c r="B18" s="282" t="s">
        <v>407</v>
      </c>
      <c r="C18" s="64">
        <v>42</v>
      </c>
      <c r="D18" s="85">
        <v>652</v>
      </c>
      <c r="E18" s="44" t="s">
        <v>408</v>
      </c>
      <c r="F18" s="66"/>
      <c r="G18" s="65" t="s">
        <v>158</v>
      </c>
      <c r="H18" s="66"/>
      <c r="I18" s="78">
        <v>13629030</v>
      </c>
      <c r="J18" s="78">
        <v>13629030</v>
      </c>
      <c r="K18" s="78">
        <f t="shared" si="0"/>
        <v>0</v>
      </c>
    </row>
    <row r="19" spans="1:11" x14ac:dyDescent="0.25">
      <c r="A19" s="48">
        <v>42902</v>
      </c>
      <c r="B19" s="282" t="s">
        <v>591</v>
      </c>
      <c r="C19" s="64">
        <v>42</v>
      </c>
      <c r="D19" s="85">
        <v>764</v>
      </c>
      <c r="E19" s="44" t="s">
        <v>592</v>
      </c>
      <c r="F19" s="66"/>
      <c r="G19" s="65" t="s">
        <v>158</v>
      </c>
      <c r="H19" s="66"/>
      <c r="I19" s="78">
        <v>15245390</v>
      </c>
      <c r="J19" s="78">
        <v>15245390</v>
      </c>
      <c r="K19" s="78">
        <f t="shared" si="0"/>
        <v>0</v>
      </c>
    </row>
    <row r="20" spans="1:11" x14ac:dyDescent="0.25">
      <c r="A20" s="48">
        <v>42930</v>
      </c>
      <c r="B20" s="282" t="s">
        <v>667</v>
      </c>
      <c r="C20" s="64">
        <v>42</v>
      </c>
      <c r="D20" s="85">
        <v>838</v>
      </c>
      <c r="E20" s="44" t="s">
        <v>668</v>
      </c>
      <c r="F20" s="66"/>
      <c r="G20" s="65" t="s">
        <v>158</v>
      </c>
      <c r="H20" s="66"/>
      <c r="I20" s="78">
        <v>14648580</v>
      </c>
      <c r="J20" s="78">
        <v>14648580</v>
      </c>
      <c r="K20" s="78">
        <f t="shared" si="0"/>
        <v>0</v>
      </c>
    </row>
    <row r="21" spans="1:11" x14ac:dyDescent="0.25">
      <c r="A21" s="48">
        <v>42965</v>
      </c>
      <c r="B21" s="282" t="s">
        <v>739</v>
      </c>
      <c r="C21" s="64">
        <v>42</v>
      </c>
      <c r="D21" s="85">
        <v>902</v>
      </c>
      <c r="E21" s="44" t="s">
        <v>740</v>
      </c>
      <c r="F21" s="66"/>
      <c r="G21" s="65" t="s">
        <v>158</v>
      </c>
      <c r="H21" s="66"/>
      <c r="I21" s="78">
        <v>14469840</v>
      </c>
      <c r="J21" s="78">
        <v>14469840</v>
      </c>
      <c r="K21" s="78">
        <f t="shared" si="0"/>
        <v>0</v>
      </c>
    </row>
    <row r="22" spans="1:11" x14ac:dyDescent="0.25">
      <c r="A22" s="48">
        <v>42992</v>
      </c>
      <c r="B22" s="282" t="s">
        <v>975</v>
      </c>
      <c r="C22" s="64">
        <v>42</v>
      </c>
      <c r="D22" s="85">
        <v>1041</v>
      </c>
      <c r="E22" s="44" t="s">
        <v>976</v>
      </c>
      <c r="F22" s="66"/>
      <c r="G22" s="65" t="s">
        <v>158</v>
      </c>
      <c r="H22" s="66"/>
      <c r="I22" s="78">
        <v>14626250</v>
      </c>
      <c r="J22" s="78">
        <v>14626250</v>
      </c>
      <c r="K22" s="78">
        <f t="shared" si="0"/>
        <v>0</v>
      </c>
    </row>
    <row r="23" spans="1:11" x14ac:dyDescent="0.25">
      <c r="A23" s="48">
        <v>43025</v>
      </c>
      <c r="B23" s="282" t="s">
        <v>1122</v>
      </c>
      <c r="C23" s="64">
        <v>42</v>
      </c>
      <c r="D23" s="85">
        <v>1161</v>
      </c>
      <c r="E23" s="44" t="s">
        <v>1123</v>
      </c>
      <c r="F23" s="66"/>
      <c r="G23" s="65" t="s">
        <v>158</v>
      </c>
      <c r="H23" s="66"/>
      <c r="I23" s="78">
        <v>13253500</v>
      </c>
      <c r="J23" s="78">
        <v>13253500</v>
      </c>
      <c r="K23" s="78">
        <f t="shared" si="0"/>
        <v>0</v>
      </c>
    </row>
    <row r="24" spans="1:11" x14ac:dyDescent="0.25">
      <c r="A24" s="48">
        <v>43060</v>
      </c>
      <c r="B24" s="282" t="s">
        <v>1191</v>
      </c>
      <c r="C24" s="64">
        <v>42</v>
      </c>
      <c r="D24" s="85">
        <v>1310</v>
      </c>
      <c r="E24" s="44" t="s">
        <v>1193</v>
      </c>
      <c r="F24" s="66"/>
      <c r="G24" s="65" t="s">
        <v>158</v>
      </c>
      <c r="H24" s="66"/>
      <c r="I24" s="78">
        <v>13418220</v>
      </c>
      <c r="J24" s="78">
        <v>13418220</v>
      </c>
      <c r="K24" s="78"/>
    </row>
    <row r="25" spans="1:11" x14ac:dyDescent="0.25">
      <c r="A25" s="48">
        <v>43060</v>
      </c>
      <c r="B25" s="282" t="s">
        <v>1192</v>
      </c>
      <c r="C25" s="64">
        <v>42</v>
      </c>
      <c r="D25" s="85">
        <v>1317</v>
      </c>
      <c r="E25" s="44" t="s">
        <v>1194</v>
      </c>
      <c r="F25" s="66"/>
      <c r="G25" s="65" t="s">
        <v>158</v>
      </c>
      <c r="H25" s="66"/>
      <c r="I25" s="78">
        <v>17885790</v>
      </c>
      <c r="J25" s="78">
        <v>17885790</v>
      </c>
      <c r="K25" s="78"/>
    </row>
    <row r="26" spans="1:11" ht="12.75" customHeight="1" x14ac:dyDescent="0.25">
      <c r="A26" s="48"/>
      <c r="B26" s="63"/>
      <c r="C26" s="64"/>
      <c r="E26" s="44"/>
      <c r="F26" s="66"/>
      <c r="G26" s="65"/>
      <c r="H26" s="66"/>
      <c r="I26" s="78"/>
      <c r="J26" s="78"/>
      <c r="K26" s="78"/>
    </row>
    <row r="27" spans="1:11" x14ac:dyDescent="0.25">
      <c r="A27" s="55"/>
      <c r="B27" s="56"/>
      <c r="C27" s="56"/>
      <c r="D27" s="56"/>
      <c r="E27" s="56"/>
      <c r="F27" s="56"/>
      <c r="G27" s="527" t="s">
        <v>132</v>
      </c>
      <c r="H27" s="528"/>
      <c r="I27" s="83">
        <f>SUM(I14:I26)</f>
        <v>178743940</v>
      </c>
      <c r="J27" s="83">
        <f>SUM(J14:J26)</f>
        <v>178743940</v>
      </c>
      <c r="K27" s="83">
        <f>SUM(K14:K26)</f>
        <v>0</v>
      </c>
    </row>
    <row r="28" spans="1:11" ht="12.75" customHeight="1" x14ac:dyDescent="0.25">
      <c r="A28" s="56"/>
      <c r="B28" s="56"/>
      <c r="C28" s="56"/>
      <c r="D28" s="56"/>
      <c r="E28" s="56"/>
      <c r="F28" s="56"/>
      <c r="G28" s="56"/>
      <c r="H28" s="56"/>
      <c r="I28" s="98"/>
      <c r="J28" s="98"/>
      <c r="K28" s="56"/>
    </row>
    <row r="29" spans="1:11" ht="24.95" customHeight="1" x14ac:dyDescent="0.25">
      <c r="A29" s="31" t="s">
        <v>58</v>
      </c>
      <c r="B29" s="31" t="s">
        <v>133</v>
      </c>
      <c r="C29" s="31" t="s">
        <v>30</v>
      </c>
      <c r="D29" s="32" t="s">
        <v>59</v>
      </c>
      <c r="E29" s="31" t="s">
        <v>40</v>
      </c>
      <c r="F29" s="31" t="s">
        <v>62</v>
      </c>
      <c r="G29" s="31" t="s">
        <v>37</v>
      </c>
      <c r="H29" s="31" t="s">
        <v>60</v>
      </c>
      <c r="I29" s="31" t="s">
        <v>61</v>
      </c>
      <c r="J29" s="31" t="s">
        <v>99</v>
      </c>
      <c r="K29" s="31" t="s">
        <v>68</v>
      </c>
    </row>
    <row r="30" spans="1:11" ht="24.95" customHeight="1" x14ac:dyDescent="0.25">
      <c r="A30" s="95">
        <v>309000000</v>
      </c>
      <c r="B30" s="95">
        <v>-101759544</v>
      </c>
      <c r="C30" s="95">
        <v>0</v>
      </c>
      <c r="D30" s="82">
        <f>+A30+B30-C30</f>
        <v>207240456</v>
      </c>
      <c r="E30" s="82">
        <f>+I27</f>
        <v>178743940</v>
      </c>
      <c r="F30" s="72">
        <f>+E30/D30</f>
        <v>0.86249540002942282</v>
      </c>
      <c r="G30" s="82">
        <f>+I10</f>
        <v>22925390</v>
      </c>
      <c r="H30" s="82">
        <f>+D30-E30-G30</f>
        <v>5571126</v>
      </c>
      <c r="I30" s="82">
        <f>+J27</f>
        <v>178743940</v>
      </c>
      <c r="J30" s="73">
        <f>+I30/D30</f>
        <v>0.86249540002942282</v>
      </c>
      <c r="K30" s="82">
        <f>+K27</f>
        <v>0</v>
      </c>
    </row>
    <row r="31" spans="1:11" x14ac:dyDescent="0.25">
      <c r="A31" s="74">
        <v>1</v>
      </c>
      <c r="B31" s="74">
        <v>2</v>
      </c>
      <c r="C31" s="74">
        <v>3</v>
      </c>
      <c r="D31" s="74" t="s">
        <v>42</v>
      </c>
      <c r="E31" s="74">
        <v>5</v>
      </c>
      <c r="F31" s="74" t="s">
        <v>69</v>
      </c>
      <c r="G31" s="74">
        <v>7</v>
      </c>
      <c r="H31" s="74" t="s">
        <v>70</v>
      </c>
      <c r="I31" s="74">
        <v>9</v>
      </c>
      <c r="J31" s="74" t="s">
        <v>100</v>
      </c>
      <c r="K31" s="74" t="s">
        <v>101</v>
      </c>
    </row>
  </sheetData>
  <mergeCells count="15">
    <mergeCell ref="G27:H27"/>
    <mergeCell ref="A5:A6"/>
    <mergeCell ref="B5:B6"/>
    <mergeCell ref="D5:D6"/>
    <mergeCell ref="A12:A13"/>
    <mergeCell ref="I5:I6"/>
    <mergeCell ref="E12:H12"/>
    <mergeCell ref="E13:F13"/>
    <mergeCell ref="G13:H13"/>
    <mergeCell ref="E5:H5"/>
    <mergeCell ref="E6:H6"/>
    <mergeCell ref="G10:H10"/>
    <mergeCell ref="J5:K6"/>
    <mergeCell ref="J12:J13"/>
    <mergeCell ref="I12:I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J14" sqref="J14:J16"/>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127</v>
      </c>
      <c r="B3" s="84" t="s">
        <v>128</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13"/>
      <c r="B7" s="122"/>
      <c r="C7" s="39"/>
      <c r="D7" s="139"/>
      <c r="E7" s="156"/>
      <c r="F7" s="157"/>
      <c r="G7" s="157"/>
      <c r="H7" s="158"/>
      <c r="I7" s="116"/>
      <c r="J7" s="122"/>
      <c r="K7" s="39"/>
    </row>
    <row r="8" spans="1:11" ht="12.75" customHeight="1" x14ac:dyDescent="0.25">
      <c r="A8" s="48"/>
      <c r="B8" s="53"/>
      <c r="C8" s="54"/>
      <c r="D8" s="44"/>
      <c r="E8" s="53"/>
      <c r="F8" s="38"/>
      <c r="G8" s="159"/>
      <c r="H8" s="58"/>
      <c r="I8" s="76"/>
      <c r="J8" s="44"/>
      <c r="K8" s="49"/>
    </row>
    <row r="9" spans="1:11" x14ac:dyDescent="0.25">
      <c r="A9" s="55"/>
      <c r="B9" s="56"/>
      <c r="C9" s="56"/>
      <c r="D9" s="56"/>
      <c r="E9" s="56"/>
      <c r="F9" s="56"/>
      <c r="G9" s="527" t="s">
        <v>132</v>
      </c>
      <c r="H9" s="528"/>
      <c r="I9" s="77">
        <f>SUM(I8:I8)</f>
        <v>0</v>
      </c>
      <c r="J9" s="57"/>
      <c r="K9" s="58"/>
    </row>
    <row r="10" spans="1:11" ht="12.75" customHeight="1" x14ac:dyDescent="0.25">
      <c r="A10" s="3"/>
      <c r="B10" s="3"/>
      <c r="C10" s="3"/>
      <c r="D10" s="3"/>
      <c r="E10" s="3"/>
      <c r="F10" s="3"/>
      <c r="G10" s="3"/>
      <c r="H10" s="3"/>
      <c r="I10" s="3"/>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x14ac:dyDescent="0.25">
      <c r="A13" s="113"/>
      <c r="B13" s="113"/>
      <c r="C13" s="113"/>
      <c r="D13" s="113"/>
      <c r="E13" s="268"/>
      <c r="F13" s="115"/>
      <c r="G13" s="156"/>
      <c r="H13" s="115"/>
      <c r="I13" s="116"/>
      <c r="J13" s="268"/>
      <c r="K13" s="298"/>
    </row>
    <row r="14" spans="1:11" x14ac:dyDescent="0.25">
      <c r="A14" s="48">
        <v>42907</v>
      </c>
      <c r="B14" s="132" t="s">
        <v>855</v>
      </c>
      <c r="C14" s="132">
        <v>474</v>
      </c>
      <c r="D14" s="132">
        <v>785</v>
      </c>
      <c r="E14" s="44" t="s">
        <v>593</v>
      </c>
      <c r="F14" s="115"/>
      <c r="G14" s="44" t="s">
        <v>594</v>
      </c>
      <c r="H14" s="115"/>
      <c r="I14" s="160">
        <v>318270000</v>
      </c>
      <c r="J14" s="160">
        <v>203568437</v>
      </c>
      <c r="K14" s="171">
        <f>+I14-J14</f>
        <v>114701563</v>
      </c>
    </row>
    <row r="15" spans="1:11" ht="12.75" customHeight="1" x14ac:dyDescent="0.25">
      <c r="A15" s="48">
        <v>42907</v>
      </c>
      <c r="B15" s="132" t="s">
        <v>855</v>
      </c>
      <c r="C15" s="132">
        <v>599</v>
      </c>
      <c r="D15" s="132">
        <v>786</v>
      </c>
      <c r="E15" s="44" t="s">
        <v>593</v>
      </c>
      <c r="F15" s="49"/>
      <c r="G15" s="44" t="s">
        <v>594</v>
      </c>
      <c r="H15" s="49"/>
      <c r="I15" s="160">
        <v>11730000</v>
      </c>
      <c r="J15" s="44">
        <v>0</v>
      </c>
      <c r="K15" s="171">
        <f>+I15-J15</f>
        <v>11730000</v>
      </c>
    </row>
    <row r="16" spans="1:11" x14ac:dyDescent="0.25">
      <c r="A16" s="48">
        <v>43031</v>
      </c>
      <c r="B16" s="64" t="s">
        <v>1124</v>
      </c>
      <c r="C16" s="64">
        <v>890</v>
      </c>
      <c r="D16" s="64">
        <v>1191</v>
      </c>
      <c r="E16" s="44" t="s">
        <v>1125</v>
      </c>
      <c r="F16" s="66"/>
      <c r="G16" s="44" t="s">
        <v>1126</v>
      </c>
      <c r="H16" s="66"/>
      <c r="I16" s="153">
        <v>3200000</v>
      </c>
      <c r="J16" s="299">
        <v>3200000</v>
      </c>
      <c r="K16" s="171">
        <f>+I16-J16</f>
        <v>0</v>
      </c>
    </row>
    <row r="17" spans="1:11" ht="12.75" customHeight="1" x14ac:dyDescent="0.25">
      <c r="A17" s="48"/>
      <c r="B17" s="63"/>
      <c r="C17" s="41"/>
      <c r="D17" s="41"/>
      <c r="E17" s="44"/>
      <c r="F17" s="49"/>
      <c r="G17" s="44"/>
      <c r="H17" s="49"/>
      <c r="I17" s="94"/>
      <c r="J17" s="94"/>
      <c r="K17" s="94"/>
    </row>
    <row r="18" spans="1:11" x14ac:dyDescent="0.25">
      <c r="A18" s="55"/>
      <c r="B18" s="56"/>
      <c r="C18" s="56"/>
      <c r="D18" s="56"/>
      <c r="E18" s="56"/>
      <c r="F18" s="56"/>
      <c r="G18" s="527" t="s">
        <v>132</v>
      </c>
      <c r="H18" s="528"/>
      <c r="I18" s="83">
        <f>SUM(I13:I17)</f>
        <v>333200000</v>
      </c>
      <c r="J18" s="83">
        <f>SUM(J13:J17)</f>
        <v>206768437</v>
      </c>
      <c r="K18" s="83">
        <f>SUM(K13:K17)</f>
        <v>126431563</v>
      </c>
    </row>
    <row r="19" spans="1:11" ht="12.75" customHeight="1" x14ac:dyDescent="0.25">
      <c r="A19" s="3"/>
      <c r="B19" s="3"/>
      <c r="C19" s="3"/>
      <c r="D19" s="3"/>
      <c r="E19" s="3"/>
      <c r="F19" s="3"/>
      <c r="G19" s="3"/>
      <c r="H19" s="3"/>
      <c r="I19" s="22"/>
      <c r="J19" s="37"/>
      <c r="K19" s="56"/>
    </row>
    <row r="20" spans="1:11" ht="24.95" customHeight="1" x14ac:dyDescent="0.25">
      <c r="A20" s="31" t="s">
        <v>58</v>
      </c>
      <c r="B20" s="31" t="s">
        <v>133</v>
      </c>
      <c r="C20" s="31" t="s">
        <v>30</v>
      </c>
      <c r="D20" s="32" t="s">
        <v>59</v>
      </c>
      <c r="E20" s="31" t="s">
        <v>40</v>
      </c>
      <c r="F20" s="31" t="s">
        <v>62</v>
      </c>
      <c r="G20" s="31" t="s">
        <v>37</v>
      </c>
      <c r="H20" s="31" t="s">
        <v>60</v>
      </c>
      <c r="I20" s="31" t="s">
        <v>61</v>
      </c>
      <c r="J20" s="31" t="s">
        <v>99</v>
      </c>
      <c r="K20" s="31" t="s">
        <v>68</v>
      </c>
    </row>
    <row r="21" spans="1:11" ht="24.95" customHeight="1" x14ac:dyDescent="0.25">
      <c r="A21" s="95">
        <v>318270000</v>
      </c>
      <c r="B21" s="95">
        <v>25500000</v>
      </c>
      <c r="C21" s="95">
        <v>0</v>
      </c>
      <c r="D21" s="82">
        <f>+A21+B21-C21</f>
        <v>343770000</v>
      </c>
      <c r="E21" s="82">
        <f>+I18</f>
        <v>333200000</v>
      </c>
      <c r="F21" s="72">
        <f>+E21/D21</f>
        <v>0.96925269802484215</v>
      </c>
      <c r="G21" s="82">
        <f>+I9</f>
        <v>0</v>
      </c>
      <c r="H21" s="82">
        <f>+D21-E21-G21</f>
        <v>10570000</v>
      </c>
      <c r="I21" s="82">
        <f>+J18</f>
        <v>206768437</v>
      </c>
      <c r="J21" s="73">
        <f>+I21/D21</f>
        <v>0.60147318556011287</v>
      </c>
      <c r="K21" s="82">
        <f>+K18</f>
        <v>126431563</v>
      </c>
    </row>
    <row r="22" spans="1:11" x14ac:dyDescent="0.25">
      <c r="A22" s="74">
        <v>1</v>
      </c>
      <c r="B22" s="74">
        <v>2</v>
      </c>
      <c r="C22" s="74">
        <v>3</v>
      </c>
      <c r="D22" s="74" t="s">
        <v>42</v>
      </c>
      <c r="E22" s="74">
        <v>5</v>
      </c>
      <c r="F22" s="74" t="s">
        <v>69</v>
      </c>
      <c r="G22" s="74">
        <v>7</v>
      </c>
      <c r="H22" s="74" t="s">
        <v>70</v>
      </c>
      <c r="I22" s="74">
        <v>9</v>
      </c>
      <c r="J22" s="74" t="s">
        <v>100</v>
      </c>
      <c r="K22" s="74" t="s">
        <v>101</v>
      </c>
    </row>
  </sheetData>
  <mergeCells count="15">
    <mergeCell ref="A5:A6"/>
    <mergeCell ref="B5:B6"/>
    <mergeCell ref="D5:D6"/>
    <mergeCell ref="E5:H5"/>
    <mergeCell ref="I5:I6"/>
    <mergeCell ref="J5:K6"/>
    <mergeCell ref="E6:H6"/>
    <mergeCell ref="G18:H18"/>
    <mergeCell ref="G9:H9"/>
    <mergeCell ref="A11:A12"/>
    <mergeCell ref="E11:H11"/>
    <mergeCell ref="I11:I12"/>
    <mergeCell ref="J11:J12"/>
    <mergeCell ref="E12:F12"/>
    <mergeCell ref="G12:H12"/>
  </mergeCells>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workbookViewId="0">
      <selection activeCell="D15" sqref="D1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114</v>
      </c>
      <c r="B3" s="84" t="s">
        <v>52</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48"/>
      <c r="B7" s="99"/>
      <c r="C7" s="43"/>
      <c r="D7" s="50"/>
      <c r="E7" s="42"/>
      <c r="F7" s="45"/>
      <c r="G7" s="46"/>
      <c r="H7" s="47"/>
      <c r="I7" s="79"/>
      <c r="J7" s="42"/>
      <c r="K7" s="43"/>
    </row>
    <row r="8" spans="1:11" x14ac:dyDescent="0.25">
      <c r="A8" s="89">
        <v>43035</v>
      </c>
      <c r="B8" s="99" t="s">
        <v>303</v>
      </c>
      <c r="C8" s="97"/>
      <c r="D8" s="163">
        <v>919</v>
      </c>
      <c r="E8" s="288" t="s">
        <v>1136</v>
      </c>
      <c r="F8" s="92"/>
      <c r="G8" s="123"/>
      <c r="H8" s="68"/>
      <c r="I8" s="79">
        <v>56000000</v>
      </c>
      <c r="J8" s="99"/>
      <c r="K8" s="49"/>
    </row>
    <row r="9" spans="1:11" ht="12.75" customHeight="1" x14ac:dyDescent="0.25">
      <c r="A9" s="48"/>
      <c r="B9" s="53"/>
      <c r="C9" s="54"/>
      <c r="D9" s="44"/>
      <c r="E9" s="44"/>
      <c r="F9" s="37"/>
      <c r="G9" s="51"/>
      <c r="H9" s="52"/>
      <c r="I9" s="76"/>
      <c r="J9" s="44"/>
      <c r="K9" s="49"/>
    </row>
    <row r="10" spans="1:11" x14ac:dyDescent="0.25">
      <c r="A10" s="55"/>
      <c r="B10" s="56"/>
      <c r="C10" s="56"/>
      <c r="D10" s="56"/>
      <c r="E10" s="56"/>
      <c r="F10" s="56"/>
      <c r="G10" s="527" t="s">
        <v>132</v>
      </c>
      <c r="H10" s="528"/>
      <c r="I10" s="77">
        <f>SUM(I7:I9)</f>
        <v>56000000</v>
      </c>
      <c r="J10" s="57"/>
      <c r="K10" s="58"/>
    </row>
    <row r="11" spans="1:11" ht="12.75" customHeight="1" x14ac:dyDescent="0.25">
      <c r="A11" s="3"/>
      <c r="B11" s="3"/>
      <c r="C11" s="3"/>
      <c r="D11" s="3"/>
      <c r="E11" s="3"/>
      <c r="F11" s="3"/>
      <c r="G11" s="3"/>
      <c r="H11" s="3"/>
      <c r="I11" s="3"/>
      <c r="J11" s="17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x14ac:dyDescent="0.25">
      <c r="A14" s="89">
        <v>42795</v>
      </c>
      <c r="B14" s="132" t="s">
        <v>261</v>
      </c>
      <c r="C14" s="129">
        <v>308</v>
      </c>
      <c r="D14" s="132">
        <v>317</v>
      </c>
      <c r="E14" s="117" t="s">
        <v>262</v>
      </c>
      <c r="F14" s="115"/>
      <c r="G14" s="65" t="s">
        <v>265</v>
      </c>
      <c r="H14" s="115"/>
      <c r="I14" s="274">
        <v>1491140</v>
      </c>
      <c r="J14" s="274">
        <v>1491140</v>
      </c>
      <c r="K14" s="78">
        <f t="shared" ref="K14:K22" si="0">+I14-J14</f>
        <v>0</v>
      </c>
    </row>
    <row r="15" spans="1:11" x14ac:dyDescent="0.25">
      <c r="A15" s="89">
        <v>42795</v>
      </c>
      <c r="B15" s="132" t="s">
        <v>261</v>
      </c>
      <c r="C15" s="129">
        <v>308</v>
      </c>
      <c r="D15" s="132">
        <v>318</v>
      </c>
      <c r="E15" s="117" t="s">
        <v>270</v>
      </c>
      <c r="F15" s="115"/>
      <c r="G15" s="65" t="s">
        <v>266</v>
      </c>
      <c r="H15" s="115"/>
      <c r="I15" s="274">
        <v>1844293</v>
      </c>
      <c r="J15" s="274">
        <v>1844293</v>
      </c>
      <c r="K15" s="78">
        <f t="shared" si="0"/>
        <v>0</v>
      </c>
    </row>
    <row r="16" spans="1:11" x14ac:dyDescent="0.25">
      <c r="A16" s="89">
        <v>42795</v>
      </c>
      <c r="B16" s="132" t="s">
        <v>261</v>
      </c>
      <c r="C16" s="129">
        <v>308</v>
      </c>
      <c r="D16" s="132">
        <v>319</v>
      </c>
      <c r="E16" s="117" t="s">
        <v>271</v>
      </c>
      <c r="F16" s="115"/>
      <c r="G16" s="65" t="s">
        <v>267</v>
      </c>
      <c r="H16" s="115"/>
      <c r="I16" s="274">
        <v>1844293</v>
      </c>
      <c r="J16" s="274">
        <v>1844293</v>
      </c>
      <c r="K16" s="78">
        <f t="shared" si="0"/>
        <v>0</v>
      </c>
    </row>
    <row r="17" spans="1:11" x14ac:dyDescent="0.25">
      <c r="A17" s="89">
        <v>42795</v>
      </c>
      <c r="B17" s="132" t="s">
        <v>261</v>
      </c>
      <c r="C17" s="129">
        <v>308</v>
      </c>
      <c r="D17" s="132">
        <v>320</v>
      </c>
      <c r="E17" s="117" t="s">
        <v>263</v>
      </c>
      <c r="F17" s="115"/>
      <c r="G17" s="65" t="s">
        <v>268</v>
      </c>
      <c r="H17" s="115"/>
      <c r="I17" s="274">
        <v>1133244</v>
      </c>
      <c r="J17" s="274">
        <v>1133244</v>
      </c>
      <c r="K17" s="78">
        <f t="shared" si="0"/>
        <v>0</v>
      </c>
    </row>
    <row r="18" spans="1:11" x14ac:dyDescent="0.25">
      <c r="A18" s="89">
        <v>42795</v>
      </c>
      <c r="B18" s="132" t="s">
        <v>261</v>
      </c>
      <c r="C18" s="129">
        <v>308</v>
      </c>
      <c r="D18" s="132">
        <v>322</v>
      </c>
      <c r="E18" s="117" t="s">
        <v>272</v>
      </c>
      <c r="F18" s="115"/>
      <c r="G18" s="65" t="s">
        <v>269</v>
      </c>
      <c r="H18" s="115"/>
      <c r="I18" s="274">
        <v>1844293</v>
      </c>
      <c r="J18" s="274">
        <v>1844293</v>
      </c>
      <c r="K18" s="78">
        <f t="shared" si="0"/>
        <v>0</v>
      </c>
    </row>
    <row r="19" spans="1:11" x14ac:dyDescent="0.25">
      <c r="A19" s="89">
        <v>42795</v>
      </c>
      <c r="B19" s="132" t="s">
        <v>261</v>
      </c>
      <c r="C19" s="129">
        <v>308</v>
      </c>
      <c r="D19" s="132">
        <v>323</v>
      </c>
      <c r="E19" s="117" t="s">
        <v>264</v>
      </c>
      <c r="F19" s="115"/>
      <c r="G19" s="65" t="s">
        <v>266</v>
      </c>
      <c r="H19" s="115"/>
      <c r="I19" s="274">
        <v>1844293</v>
      </c>
      <c r="J19" s="274">
        <v>1844293</v>
      </c>
      <c r="K19" s="78">
        <f t="shared" si="0"/>
        <v>0</v>
      </c>
    </row>
    <row r="20" spans="1:11" x14ac:dyDescent="0.25">
      <c r="A20" s="89">
        <v>42818</v>
      </c>
      <c r="B20" s="132" t="s">
        <v>290</v>
      </c>
      <c r="C20" s="129">
        <v>308</v>
      </c>
      <c r="D20" s="132">
        <v>452</v>
      </c>
      <c r="E20" s="117" t="s">
        <v>291</v>
      </c>
      <c r="F20" s="115"/>
      <c r="G20" s="65" t="s">
        <v>295</v>
      </c>
      <c r="H20" s="115"/>
      <c r="I20" s="284">
        <v>1844293</v>
      </c>
      <c r="J20" s="274">
        <v>1844293</v>
      </c>
      <c r="K20" s="78">
        <f t="shared" si="0"/>
        <v>0</v>
      </c>
    </row>
    <row r="21" spans="1:11" x14ac:dyDescent="0.25">
      <c r="A21" s="89">
        <v>42818</v>
      </c>
      <c r="B21" s="132" t="s">
        <v>290</v>
      </c>
      <c r="C21" s="129">
        <v>308</v>
      </c>
      <c r="D21" s="132">
        <v>453</v>
      </c>
      <c r="E21" s="117" t="s">
        <v>292</v>
      </c>
      <c r="F21" s="115"/>
      <c r="G21" s="65" t="s">
        <v>296</v>
      </c>
      <c r="H21" s="115"/>
      <c r="I21" s="284">
        <v>1844293</v>
      </c>
      <c r="J21" s="274">
        <v>1844293</v>
      </c>
      <c r="K21" s="78">
        <f t="shared" si="0"/>
        <v>0</v>
      </c>
    </row>
    <row r="22" spans="1:11" x14ac:dyDescent="0.25">
      <c r="A22" s="89">
        <v>42818</v>
      </c>
      <c r="B22" s="132" t="s">
        <v>290</v>
      </c>
      <c r="C22" s="129">
        <v>308</v>
      </c>
      <c r="D22" s="132">
        <v>454</v>
      </c>
      <c r="E22" s="117" t="s">
        <v>293</v>
      </c>
      <c r="F22" s="115"/>
      <c r="G22" s="65" t="s">
        <v>296</v>
      </c>
      <c r="H22" s="115"/>
      <c r="I22" s="284">
        <v>1844293</v>
      </c>
      <c r="J22" s="274">
        <v>1844293</v>
      </c>
      <c r="K22" s="78">
        <f t="shared" si="0"/>
        <v>0</v>
      </c>
    </row>
    <row r="23" spans="1:11" ht="15" customHeight="1" x14ac:dyDescent="0.25">
      <c r="A23" s="89">
        <v>42818</v>
      </c>
      <c r="B23" s="132" t="s">
        <v>290</v>
      </c>
      <c r="C23" s="50">
        <v>308</v>
      </c>
      <c r="D23" s="64">
        <v>455</v>
      </c>
      <c r="E23" s="283" t="s">
        <v>294</v>
      </c>
      <c r="F23" s="66"/>
      <c r="G23" s="65" t="s">
        <v>266</v>
      </c>
      <c r="H23" s="66"/>
      <c r="I23" s="284">
        <v>1844293</v>
      </c>
      <c r="J23" s="274">
        <v>1844293</v>
      </c>
      <c r="K23" s="78">
        <f t="shared" ref="K23:K86" si="1">+I23-J23</f>
        <v>0</v>
      </c>
    </row>
    <row r="24" spans="1:11" ht="15" customHeight="1" x14ac:dyDescent="0.25">
      <c r="A24" s="89">
        <v>42835</v>
      </c>
      <c r="B24" s="132" t="s">
        <v>334</v>
      </c>
      <c r="C24" s="50">
        <v>308</v>
      </c>
      <c r="D24" s="64">
        <v>524</v>
      </c>
      <c r="E24" s="283" t="s">
        <v>337</v>
      </c>
      <c r="F24" s="66"/>
      <c r="G24" s="65" t="s">
        <v>332</v>
      </c>
      <c r="H24" s="66"/>
      <c r="I24" s="284">
        <v>1060850</v>
      </c>
      <c r="J24" s="274">
        <v>1060850</v>
      </c>
      <c r="K24" s="78">
        <f t="shared" si="1"/>
        <v>0</v>
      </c>
    </row>
    <row r="25" spans="1:11" ht="15" customHeight="1" x14ac:dyDescent="0.25">
      <c r="A25" s="89">
        <v>42835</v>
      </c>
      <c r="B25" s="132" t="s">
        <v>334</v>
      </c>
      <c r="C25" s="50">
        <v>308</v>
      </c>
      <c r="D25" s="64">
        <v>525</v>
      </c>
      <c r="E25" s="283" t="s">
        <v>336</v>
      </c>
      <c r="F25" s="66"/>
      <c r="G25" s="65" t="s">
        <v>333</v>
      </c>
      <c r="H25" s="66"/>
      <c r="I25" s="284">
        <v>1844293</v>
      </c>
      <c r="J25" s="274">
        <v>1844293</v>
      </c>
      <c r="K25" s="78">
        <f t="shared" si="1"/>
        <v>0</v>
      </c>
    </row>
    <row r="26" spans="1:11" x14ac:dyDescent="0.25">
      <c r="A26" s="48">
        <v>42835</v>
      </c>
      <c r="B26" s="132" t="s">
        <v>334</v>
      </c>
      <c r="C26" s="50">
        <v>308</v>
      </c>
      <c r="D26" s="64">
        <v>526</v>
      </c>
      <c r="E26" s="65" t="s">
        <v>335</v>
      </c>
      <c r="F26" s="66"/>
      <c r="G26" s="44" t="s">
        <v>295</v>
      </c>
      <c r="H26" s="66"/>
      <c r="I26" s="284">
        <v>1844293</v>
      </c>
      <c r="J26" s="274">
        <v>1844293</v>
      </c>
      <c r="K26" s="78">
        <f t="shared" si="1"/>
        <v>0</v>
      </c>
    </row>
    <row r="27" spans="1:11" x14ac:dyDescent="0.25">
      <c r="A27" s="48">
        <v>42863</v>
      </c>
      <c r="B27" s="132" t="s">
        <v>403</v>
      </c>
      <c r="C27" s="50">
        <v>308</v>
      </c>
      <c r="D27" s="64">
        <v>639</v>
      </c>
      <c r="E27" s="292" t="s">
        <v>404</v>
      </c>
      <c r="F27" s="66"/>
      <c r="G27" s="44" t="s">
        <v>406</v>
      </c>
      <c r="H27" s="66"/>
      <c r="I27" s="284">
        <v>1781640</v>
      </c>
      <c r="J27" s="274">
        <v>1781640</v>
      </c>
      <c r="K27" s="78">
        <f t="shared" si="1"/>
        <v>0</v>
      </c>
    </row>
    <row r="28" spans="1:11" x14ac:dyDescent="0.25">
      <c r="A28" s="48">
        <v>42863</v>
      </c>
      <c r="B28" s="132" t="s">
        <v>403</v>
      </c>
      <c r="C28" s="50">
        <v>308</v>
      </c>
      <c r="D28" s="64">
        <v>640</v>
      </c>
      <c r="E28" s="292" t="s">
        <v>405</v>
      </c>
      <c r="F28" s="66"/>
      <c r="G28" s="44" t="s">
        <v>332</v>
      </c>
      <c r="H28" s="66"/>
      <c r="I28" s="284">
        <v>702940</v>
      </c>
      <c r="J28" s="274">
        <v>702940</v>
      </c>
      <c r="K28" s="78">
        <f t="shared" si="1"/>
        <v>0</v>
      </c>
    </row>
    <row r="29" spans="1:11" x14ac:dyDescent="0.25">
      <c r="A29" s="48">
        <v>42902</v>
      </c>
      <c r="B29" s="132" t="s">
        <v>595</v>
      </c>
      <c r="C29" s="50">
        <v>459</v>
      </c>
      <c r="D29" s="64">
        <v>769</v>
      </c>
      <c r="E29" s="65" t="s">
        <v>596</v>
      </c>
      <c r="F29" s="66"/>
      <c r="G29" s="44" t="s">
        <v>597</v>
      </c>
      <c r="H29" s="66"/>
      <c r="I29" s="284">
        <v>395700075</v>
      </c>
      <c r="J29" s="486">
        <v>206154860</v>
      </c>
      <c r="K29" s="78">
        <f t="shared" si="1"/>
        <v>189545215</v>
      </c>
    </row>
    <row r="30" spans="1:11" x14ac:dyDescent="0.25">
      <c r="A30" s="48">
        <v>42989</v>
      </c>
      <c r="B30" s="132" t="s">
        <v>868</v>
      </c>
      <c r="C30" s="50">
        <v>306</v>
      </c>
      <c r="D30" s="64">
        <v>968</v>
      </c>
      <c r="E30" s="292" t="s">
        <v>961</v>
      </c>
      <c r="F30" s="66"/>
      <c r="G30" s="44" t="s">
        <v>268</v>
      </c>
      <c r="H30" s="66"/>
      <c r="I30" s="284">
        <v>1106575</v>
      </c>
      <c r="J30" s="486">
        <v>1106575</v>
      </c>
      <c r="K30" s="78">
        <f t="shared" si="1"/>
        <v>0</v>
      </c>
    </row>
    <row r="31" spans="1:11" x14ac:dyDescent="0.25">
      <c r="A31" s="48">
        <v>42989</v>
      </c>
      <c r="B31" s="132" t="s">
        <v>868</v>
      </c>
      <c r="C31" s="50">
        <v>306</v>
      </c>
      <c r="D31" s="64">
        <v>969</v>
      </c>
      <c r="E31" s="292" t="s">
        <v>962</v>
      </c>
      <c r="F31" s="66"/>
      <c r="G31" s="44" t="s">
        <v>929</v>
      </c>
      <c r="H31" s="66"/>
      <c r="I31" s="284">
        <v>737717</v>
      </c>
      <c r="J31" s="486">
        <v>737717</v>
      </c>
      <c r="K31" s="78">
        <f t="shared" si="1"/>
        <v>0</v>
      </c>
    </row>
    <row r="32" spans="1:11" x14ac:dyDescent="0.25">
      <c r="A32" s="48">
        <v>42989</v>
      </c>
      <c r="B32" s="132" t="s">
        <v>868</v>
      </c>
      <c r="C32" s="50">
        <v>306</v>
      </c>
      <c r="D32" s="64">
        <v>970</v>
      </c>
      <c r="E32" s="292" t="s">
        <v>963</v>
      </c>
      <c r="F32" s="66"/>
      <c r="G32" s="44" t="s">
        <v>930</v>
      </c>
      <c r="H32" s="66"/>
      <c r="I32" s="284">
        <v>1060000</v>
      </c>
      <c r="J32" s="486">
        <v>1060000</v>
      </c>
      <c r="K32" s="78">
        <f t="shared" si="1"/>
        <v>0</v>
      </c>
    </row>
    <row r="33" spans="1:11" x14ac:dyDescent="0.25">
      <c r="A33" s="48">
        <v>42989</v>
      </c>
      <c r="B33" s="132" t="s">
        <v>868</v>
      </c>
      <c r="C33" s="50">
        <v>306</v>
      </c>
      <c r="D33" s="64">
        <v>971</v>
      </c>
      <c r="E33" s="292" t="s">
        <v>870</v>
      </c>
      <c r="F33" s="66"/>
      <c r="G33" s="44" t="s">
        <v>931</v>
      </c>
      <c r="H33" s="66"/>
      <c r="I33" s="284">
        <v>737717</v>
      </c>
      <c r="J33" s="486">
        <v>737717</v>
      </c>
      <c r="K33" s="78">
        <f t="shared" si="1"/>
        <v>0</v>
      </c>
    </row>
    <row r="34" spans="1:11" x14ac:dyDescent="0.25">
      <c r="A34" s="48">
        <v>42989</v>
      </c>
      <c r="B34" s="132" t="s">
        <v>868</v>
      </c>
      <c r="C34" s="50">
        <v>306</v>
      </c>
      <c r="D34" s="64">
        <v>972</v>
      </c>
      <c r="E34" s="292" t="s">
        <v>871</v>
      </c>
      <c r="F34" s="66"/>
      <c r="G34" s="44" t="s">
        <v>929</v>
      </c>
      <c r="H34" s="66"/>
      <c r="I34" s="284">
        <v>737717</v>
      </c>
      <c r="J34" s="486">
        <v>737717</v>
      </c>
      <c r="K34" s="78">
        <f t="shared" si="1"/>
        <v>0</v>
      </c>
    </row>
    <row r="35" spans="1:11" x14ac:dyDescent="0.25">
      <c r="A35" s="48">
        <v>42989</v>
      </c>
      <c r="B35" s="132" t="s">
        <v>868</v>
      </c>
      <c r="C35" s="50">
        <v>306</v>
      </c>
      <c r="D35" s="64">
        <v>973</v>
      </c>
      <c r="E35" s="292" t="s">
        <v>872</v>
      </c>
      <c r="F35" s="66"/>
      <c r="G35" s="44" t="s">
        <v>929</v>
      </c>
      <c r="H35" s="66"/>
      <c r="I35" s="284">
        <v>737717</v>
      </c>
      <c r="J35" s="486">
        <v>737717</v>
      </c>
      <c r="K35" s="78">
        <f t="shared" si="1"/>
        <v>0</v>
      </c>
    </row>
    <row r="36" spans="1:11" x14ac:dyDescent="0.25">
      <c r="A36" s="48">
        <v>42989</v>
      </c>
      <c r="B36" s="132" t="s">
        <v>868</v>
      </c>
      <c r="C36" s="50">
        <v>306</v>
      </c>
      <c r="D36" s="64">
        <v>974</v>
      </c>
      <c r="E36" s="292" t="s">
        <v>873</v>
      </c>
      <c r="F36" s="66"/>
      <c r="G36" s="44" t="s">
        <v>932</v>
      </c>
      <c r="H36" s="66"/>
      <c r="I36" s="284">
        <v>1106575</v>
      </c>
      <c r="J36" s="486">
        <v>1106575</v>
      </c>
      <c r="K36" s="78">
        <f t="shared" si="1"/>
        <v>0</v>
      </c>
    </row>
    <row r="37" spans="1:11" x14ac:dyDescent="0.25">
      <c r="A37" s="48">
        <v>42989</v>
      </c>
      <c r="B37" s="132" t="s">
        <v>868</v>
      </c>
      <c r="C37" s="50">
        <v>306</v>
      </c>
      <c r="D37" s="64">
        <v>975</v>
      </c>
      <c r="E37" s="292" t="s">
        <v>874</v>
      </c>
      <c r="F37" s="66"/>
      <c r="G37" s="44" t="s">
        <v>933</v>
      </c>
      <c r="H37" s="66"/>
      <c r="I37" s="284">
        <v>737717</v>
      </c>
      <c r="J37" s="486">
        <v>737717</v>
      </c>
      <c r="K37" s="78">
        <f t="shared" si="1"/>
        <v>0</v>
      </c>
    </row>
    <row r="38" spans="1:11" x14ac:dyDescent="0.25">
      <c r="A38" s="48">
        <v>42989</v>
      </c>
      <c r="B38" s="132" t="s">
        <v>868</v>
      </c>
      <c r="C38" s="50">
        <v>306</v>
      </c>
      <c r="D38" s="64">
        <v>976</v>
      </c>
      <c r="E38" s="292" t="s">
        <v>875</v>
      </c>
      <c r="F38" s="66"/>
      <c r="G38" s="44" t="s">
        <v>934</v>
      </c>
      <c r="H38" s="66"/>
      <c r="I38" s="284">
        <v>1106575</v>
      </c>
      <c r="J38" s="486">
        <v>1106575</v>
      </c>
      <c r="K38" s="78">
        <f t="shared" si="1"/>
        <v>0</v>
      </c>
    </row>
    <row r="39" spans="1:11" x14ac:dyDescent="0.25">
      <c r="A39" s="48">
        <v>42989</v>
      </c>
      <c r="B39" s="132" t="s">
        <v>868</v>
      </c>
      <c r="C39" s="50">
        <v>306</v>
      </c>
      <c r="D39" s="64">
        <v>977</v>
      </c>
      <c r="E39" s="292" t="s">
        <v>876</v>
      </c>
      <c r="F39" s="66"/>
      <c r="G39" s="44" t="s">
        <v>929</v>
      </c>
      <c r="H39" s="66"/>
      <c r="I39" s="284">
        <v>737717</v>
      </c>
      <c r="J39" s="486">
        <v>737717</v>
      </c>
      <c r="K39" s="78">
        <f t="shared" si="1"/>
        <v>0</v>
      </c>
    </row>
    <row r="40" spans="1:11" x14ac:dyDescent="0.25">
      <c r="A40" s="48">
        <v>42989</v>
      </c>
      <c r="B40" s="132" t="s">
        <v>868</v>
      </c>
      <c r="C40" s="50">
        <v>306</v>
      </c>
      <c r="D40" s="64">
        <v>978</v>
      </c>
      <c r="E40" s="292" t="s">
        <v>877</v>
      </c>
      <c r="F40" s="66"/>
      <c r="G40" s="44" t="s">
        <v>935</v>
      </c>
      <c r="H40" s="66"/>
      <c r="I40" s="284">
        <v>1106575</v>
      </c>
      <c r="J40" s="486">
        <v>1106575</v>
      </c>
      <c r="K40" s="78">
        <f t="shared" si="1"/>
        <v>0</v>
      </c>
    </row>
    <row r="41" spans="1:11" x14ac:dyDescent="0.25">
      <c r="A41" s="48">
        <v>42989</v>
      </c>
      <c r="B41" s="132" t="s">
        <v>868</v>
      </c>
      <c r="C41" s="50">
        <v>306</v>
      </c>
      <c r="D41" s="64">
        <v>979</v>
      </c>
      <c r="E41" s="292" t="s">
        <v>878</v>
      </c>
      <c r="F41" s="66"/>
      <c r="G41" s="44" t="s">
        <v>936</v>
      </c>
      <c r="H41" s="66"/>
      <c r="I41" s="284">
        <v>1106575</v>
      </c>
      <c r="J41" s="486">
        <v>1106575</v>
      </c>
      <c r="K41" s="78">
        <f t="shared" si="1"/>
        <v>0</v>
      </c>
    </row>
    <row r="42" spans="1:11" x14ac:dyDescent="0.25">
      <c r="A42" s="48">
        <v>42989</v>
      </c>
      <c r="B42" s="132" t="s">
        <v>868</v>
      </c>
      <c r="C42" s="50">
        <v>306</v>
      </c>
      <c r="D42" s="64">
        <v>980</v>
      </c>
      <c r="E42" s="292" t="s">
        <v>879</v>
      </c>
      <c r="F42" s="66"/>
      <c r="G42" s="44" t="s">
        <v>929</v>
      </c>
      <c r="H42" s="66"/>
      <c r="I42" s="284">
        <v>737717</v>
      </c>
      <c r="J42" s="486">
        <v>737717</v>
      </c>
      <c r="K42" s="78">
        <f t="shared" si="1"/>
        <v>0</v>
      </c>
    </row>
    <row r="43" spans="1:11" x14ac:dyDescent="0.25">
      <c r="A43" s="48">
        <v>42989</v>
      </c>
      <c r="B43" s="132" t="s">
        <v>868</v>
      </c>
      <c r="C43" s="50">
        <v>306</v>
      </c>
      <c r="D43" s="64">
        <v>981</v>
      </c>
      <c r="E43" s="292" t="s">
        <v>880</v>
      </c>
      <c r="F43" s="66"/>
      <c r="G43" s="44" t="s">
        <v>937</v>
      </c>
      <c r="H43" s="66"/>
      <c r="I43" s="284">
        <v>1106575</v>
      </c>
      <c r="J43" s="486">
        <v>1106575</v>
      </c>
      <c r="K43" s="78">
        <f t="shared" si="1"/>
        <v>0</v>
      </c>
    </row>
    <row r="44" spans="1:11" x14ac:dyDescent="0.25">
      <c r="A44" s="48">
        <v>42989</v>
      </c>
      <c r="B44" s="132" t="s">
        <v>868</v>
      </c>
      <c r="C44" s="50">
        <v>306</v>
      </c>
      <c r="D44" s="64">
        <v>982</v>
      </c>
      <c r="E44" s="292" t="s">
        <v>881</v>
      </c>
      <c r="F44" s="66"/>
      <c r="G44" s="44" t="s">
        <v>929</v>
      </c>
      <c r="H44" s="66"/>
      <c r="I44" s="284">
        <v>737717</v>
      </c>
      <c r="J44" s="486">
        <v>737717</v>
      </c>
      <c r="K44" s="78">
        <f t="shared" si="1"/>
        <v>0</v>
      </c>
    </row>
    <row r="45" spans="1:11" x14ac:dyDescent="0.25">
      <c r="A45" s="48">
        <v>42989</v>
      </c>
      <c r="B45" s="132" t="s">
        <v>868</v>
      </c>
      <c r="C45" s="50">
        <v>306</v>
      </c>
      <c r="D45" s="64">
        <v>983</v>
      </c>
      <c r="E45" s="292" t="s">
        <v>882</v>
      </c>
      <c r="F45" s="66"/>
      <c r="G45" s="44" t="s">
        <v>938</v>
      </c>
      <c r="H45" s="66"/>
      <c r="I45" s="284">
        <v>1106575</v>
      </c>
      <c r="J45" s="486">
        <v>1106575</v>
      </c>
      <c r="K45" s="78">
        <f t="shared" si="1"/>
        <v>0</v>
      </c>
    </row>
    <row r="46" spans="1:11" x14ac:dyDescent="0.25">
      <c r="A46" s="48">
        <v>42989</v>
      </c>
      <c r="B46" s="132" t="s">
        <v>868</v>
      </c>
      <c r="C46" s="50">
        <v>306</v>
      </c>
      <c r="D46" s="64">
        <v>984</v>
      </c>
      <c r="E46" s="292" t="s">
        <v>883</v>
      </c>
      <c r="F46" s="66"/>
      <c r="G46" s="44" t="s">
        <v>929</v>
      </c>
      <c r="H46" s="66"/>
      <c r="I46" s="284">
        <v>737717</v>
      </c>
      <c r="J46" s="486">
        <v>737717</v>
      </c>
      <c r="K46" s="78">
        <f t="shared" si="1"/>
        <v>0</v>
      </c>
    </row>
    <row r="47" spans="1:11" x14ac:dyDescent="0.25">
      <c r="A47" s="48">
        <v>42989</v>
      </c>
      <c r="B47" s="132" t="s">
        <v>868</v>
      </c>
      <c r="C47" s="50">
        <v>306</v>
      </c>
      <c r="D47" s="64">
        <v>985</v>
      </c>
      <c r="E47" s="292" t="s">
        <v>884</v>
      </c>
      <c r="F47" s="66"/>
      <c r="G47" s="44" t="s">
        <v>939</v>
      </c>
      <c r="H47" s="66"/>
      <c r="I47" s="284">
        <v>1106575</v>
      </c>
      <c r="J47" s="486">
        <v>1106575</v>
      </c>
      <c r="K47" s="78">
        <f t="shared" si="1"/>
        <v>0</v>
      </c>
    </row>
    <row r="48" spans="1:11" x14ac:dyDescent="0.25">
      <c r="A48" s="48">
        <v>42989</v>
      </c>
      <c r="B48" s="132" t="s">
        <v>868</v>
      </c>
      <c r="C48" s="50">
        <v>306</v>
      </c>
      <c r="D48" s="64">
        <v>986</v>
      </c>
      <c r="E48" s="292" t="s">
        <v>885</v>
      </c>
      <c r="F48" s="66"/>
      <c r="G48" s="44" t="s">
        <v>940</v>
      </c>
      <c r="H48" s="66"/>
      <c r="I48" s="284">
        <v>1106575</v>
      </c>
      <c r="J48" s="486">
        <v>1106575</v>
      </c>
      <c r="K48" s="78">
        <f t="shared" si="1"/>
        <v>0</v>
      </c>
    </row>
    <row r="49" spans="1:11" x14ac:dyDescent="0.25">
      <c r="A49" s="48">
        <v>42989</v>
      </c>
      <c r="B49" s="132" t="s">
        <v>868</v>
      </c>
      <c r="C49" s="50">
        <v>306</v>
      </c>
      <c r="D49" s="64">
        <v>987</v>
      </c>
      <c r="E49" s="292" t="s">
        <v>886</v>
      </c>
      <c r="F49" s="66"/>
      <c r="G49" s="44" t="s">
        <v>941</v>
      </c>
      <c r="H49" s="66"/>
      <c r="I49" s="284">
        <v>1106575</v>
      </c>
      <c r="J49" s="486">
        <v>1106575</v>
      </c>
      <c r="K49" s="78">
        <f t="shared" si="1"/>
        <v>0</v>
      </c>
    </row>
    <row r="50" spans="1:11" x14ac:dyDescent="0.25">
      <c r="A50" s="48">
        <v>42989</v>
      </c>
      <c r="B50" s="132" t="s">
        <v>868</v>
      </c>
      <c r="C50" s="50">
        <v>306</v>
      </c>
      <c r="D50" s="64">
        <v>988</v>
      </c>
      <c r="E50" s="292" t="s">
        <v>887</v>
      </c>
      <c r="F50" s="66"/>
      <c r="G50" s="44" t="s">
        <v>929</v>
      </c>
      <c r="H50" s="66"/>
      <c r="I50" s="284">
        <v>737717</v>
      </c>
      <c r="J50" s="486">
        <v>737717</v>
      </c>
      <c r="K50" s="78">
        <f t="shared" si="1"/>
        <v>0</v>
      </c>
    </row>
    <row r="51" spans="1:11" x14ac:dyDescent="0.25">
      <c r="A51" s="48">
        <v>42989</v>
      </c>
      <c r="B51" s="132" t="s">
        <v>868</v>
      </c>
      <c r="C51" s="50">
        <v>306</v>
      </c>
      <c r="D51" s="64">
        <v>990</v>
      </c>
      <c r="E51" s="292" t="s">
        <v>888</v>
      </c>
      <c r="F51" s="66"/>
      <c r="G51" s="44" t="s">
        <v>266</v>
      </c>
      <c r="H51" s="66"/>
      <c r="I51" s="284">
        <v>1106575</v>
      </c>
      <c r="J51" s="486">
        <v>1106575</v>
      </c>
      <c r="K51" s="78">
        <f t="shared" si="1"/>
        <v>0</v>
      </c>
    </row>
    <row r="52" spans="1:11" x14ac:dyDescent="0.25">
      <c r="A52" s="48">
        <v>42989</v>
      </c>
      <c r="B52" s="132" t="s">
        <v>868</v>
      </c>
      <c r="C52" s="50">
        <v>306</v>
      </c>
      <c r="D52" s="64">
        <v>991</v>
      </c>
      <c r="E52" s="292" t="s">
        <v>889</v>
      </c>
      <c r="F52" s="66"/>
      <c r="G52" s="44" t="s">
        <v>940</v>
      </c>
      <c r="H52" s="66"/>
      <c r="I52" s="284">
        <v>1106575</v>
      </c>
      <c r="J52" s="486">
        <v>1106575</v>
      </c>
      <c r="K52" s="78">
        <f t="shared" si="1"/>
        <v>0</v>
      </c>
    </row>
    <row r="53" spans="1:11" x14ac:dyDescent="0.25">
      <c r="A53" s="48">
        <v>42989</v>
      </c>
      <c r="B53" s="132" t="s">
        <v>868</v>
      </c>
      <c r="C53" s="50">
        <v>306</v>
      </c>
      <c r="D53" s="64">
        <v>992</v>
      </c>
      <c r="E53" s="292" t="s">
        <v>890</v>
      </c>
      <c r="F53" s="66"/>
      <c r="G53" s="44" t="s">
        <v>942</v>
      </c>
      <c r="H53" s="66"/>
      <c r="I53" s="284">
        <v>1069350</v>
      </c>
      <c r="J53" s="486">
        <v>1069350</v>
      </c>
      <c r="K53" s="78">
        <f t="shared" si="1"/>
        <v>0</v>
      </c>
    </row>
    <row r="54" spans="1:11" x14ac:dyDescent="0.25">
      <c r="A54" s="48">
        <v>42989</v>
      </c>
      <c r="B54" s="132" t="s">
        <v>868</v>
      </c>
      <c r="C54" s="50">
        <v>306</v>
      </c>
      <c r="D54" s="64">
        <v>993</v>
      </c>
      <c r="E54" s="292" t="s">
        <v>891</v>
      </c>
      <c r="F54" s="66"/>
      <c r="G54" s="44" t="s">
        <v>943</v>
      </c>
      <c r="H54" s="66"/>
      <c r="I54" s="284">
        <v>1106575</v>
      </c>
      <c r="J54" s="486">
        <v>1106575</v>
      </c>
      <c r="K54" s="78">
        <f t="shared" si="1"/>
        <v>0</v>
      </c>
    </row>
    <row r="55" spans="1:11" x14ac:dyDescent="0.25">
      <c r="A55" s="48">
        <v>42989</v>
      </c>
      <c r="B55" s="132" t="s">
        <v>868</v>
      </c>
      <c r="C55" s="50">
        <v>306</v>
      </c>
      <c r="D55" s="64">
        <v>994</v>
      </c>
      <c r="E55" s="292" t="s">
        <v>892</v>
      </c>
      <c r="F55" s="66"/>
      <c r="G55" s="44" t="s">
        <v>944</v>
      </c>
      <c r="H55" s="66"/>
      <c r="I55" s="284">
        <v>1106575</v>
      </c>
      <c r="J55" s="486">
        <v>1106575</v>
      </c>
      <c r="K55" s="78">
        <f t="shared" si="1"/>
        <v>0</v>
      </c>
    </row>
    <row r="56" spans="1:11" x14ac:dyDescent="0.25">
      <c r="A56" s="48">
        <v>42989</v>
      </c>
      <c r="B56" s="132" t="s">
        <v>868</v>
      </c>
      <c r="C56" s="50">
        <v>306</v>
      </c>
      <c r="D56" s="64">
        <v>995</v>
      </c>
      <c r="E56" s="292" t="s">
        <v>893</v>
      </c>
      <c r="F56" s="66"/>
      <c r="G56" s="44" t="s">
        <v>943</v>
      </c>
      <c r="H56" s="66"/>
      <c r="I56" s="284">
        <v>1106575</v>
      </c>
      <c r="J56" s="486">
        <v>1106575</v>
      </c>
      <c r="K56" s="78">
        <f t="shared" si="1"/>
        <v>0</v>
      </c>
    </row>
    <row r="57" spans="1:11" x14ac:dyDescent="0.25">
      <c r="A57" s="48">
        <v>42989</v>
      </c>
      <c r="B57" s="132" t="s">
        <v>868</v>
      </c>
      <c r="C57" s="50">
        <v>306</v>
      </c>
      <c r="D57" s="64">
        <v>997</v>
      </c>
      <c r="E57" s="292" t="s">
        <v>894</v>
      </c>
      <c r="F57" s="66"/>
      <c r="G57" s="44" t="s">
        <v>945</v>
      </c>
      <c r="H57" s="66"/>
      <c r="I57" s="284">
        <v>1106575</v>
      </c>
      <c r="J57" s="486">
        <v>1106575</v>
      </c>
      <c r="K57" s="78">
        <f t="shared" si="1"/>
        <v>0</v>
      </c>
    </row>
    <row r="58" spans="1:11" x14ac:dyDescent="0.25">
      <c r="A58" s="48">
        <v>42989</v>
      </c>
      <c r="B58" s="132" t="s">
        <v>868</v>
      </c>
      <c r="C58" s="50">
        <v>306</v>
      </c>
      <c r="D58" s="64">
        <v>998</v>
      </c>
      <c r="E58" s="292" t="s">
        <v>895</v>
      </c>
      <c r="F58" s="66"/>
      <c r="G58" s="44" t="s">
        <v>946</v>
      </c>
      <c r="H58" s="66"/>
      <c r="I58" s="284">
        <v>1106575</v>
      </c>
      <c r="J58" s="486">
        <v>1106575</v>
      </c>
      <c r="K58" s="78">
        <f t="shared" si="1"/>
        <v>0</v>
      </c>
    </row>
    <row r="59" spans="1:11" x14ac:dyDescent="0.25">
      <c r="A59" s="48">
        <v>42990</v>
      </c>
      <c r="B59" s="132" t="s">
        <v>868</v>
      </c>
      <c r="C59" s="50">
        <v>306</v>
      </c>
      <c r="D59" s="64">
        <v>999</v>
      </c>
      <c r="E59" s="292" t="s">
        <v>896</v>
      </c>
      <c r="F59" s="66"/>
      <c r="G59" s="44" t="s">
        <v>947</v>
      </c>
      <c r="H59" s="66"/>
      <c r="I59" s="284">
        <v>1106575</v>
      </c>
      <c r="J59" s="486">
        <v>1106575</v>
      </c>
      <c r="K59" s="78">
        <f t="shared" si="1"/>
        <v>0</v>
      </c>
    </row>
    <row r="60" spans="1:11" x14ac:dyDescent="0.25">
      <c r="A60" s="48">
        <v>42990</v>
      </c>
      <c r="B60" s="132" t="s">
        <v>868</v>
      </c>
      <c r="C60" s="50">
        <v>306</v>
      </c>
      <c r="D60" s="64">
        <v>1000</v>
      </c>
      <c r="E60" s="292" t="s">
        <v>897</v>
      </c>
      <c r="F60" s="66"/>
      <c r="G60" s="44" t="s">
        <v>929</v>
      </c>
      <c r="H60" s="66"/>
      <c r="I60" s="284">
        <v>737717</v>
      </c>
      <c r="J60" s="486">
        <v>737717</v>
      </c>
      <c r="K60" s="78">
        <f t="shared" si="1"/>
        <v>0</v>
      </c>
    </row>
    <row r="61" spans="1:11" x14ac:dyDescent="0.25">
      <c r="A61" s="48">
        <v>42990</v>
      </c>
      <c r="B61" s="132" t="s">
        <v>868</v>
      </c>
      <c r="C61" s="50">
        <v>306</v>
      </c>
      <c r="D61" s="64">
        <v>1001</v>
      </c>
      <c r="E61" s="292" t="s">
        <v>898</v>
      </c>
      <c r="F61" s="66"/>
      <c r="G61" s="44" t="s">
        <v>929</v>
      </c>
      <c r="H61" s="66"/>
      <c r="I61" s="284">
        <v>737717</v>
      </c>
      <c r="J61" s="486">
        <v>737717</v>
      </c>
      <c r="K61" s="78">
        <f t="shared" si="1"/>
        <v>0</v>
      </c>
    </row>
    <row r="62" spans="1:11" x14ac:dyDescent="0.25">
      <c r="A62" s="48">
        <v>42990</v>
      </c>
      <c r="B62" s="132" t="s">
        <v>868</v>
      </c>
      <c r="C62" s="50">
        <v>306</v>
      </c>
      <c r="D62" s="64">
        <v>1002</v>
      </c>
      <c r="E62" s="292" t="s">
        <v>899</v>
      </c>
      <c r="F62" s="66"/>
      <c r="G62" s="44" t="s">
        <v>266</v>
      </c>
      <c r="H62" s="66"/>
      <c r="I62" s="284">
        <v>1106575</v>
      </c>
      <c r="J62" s="486">
        <v>1106575</v>
      </c>
      <c r="K62" s="78">
        <f t="shared" si="1"/>
        <v>0</v>
      </c>
    </row>
    <row r="63" spans="1:11" x14ac:dyDescent="0.25">
      <c r="A63" s="48">
        <v>42990</v>
      </c>
      <c r="B63" s="132" t="s">
        <v>868</v>
      </c>
      <c r="C63" s="50">
        <v>306</v>
      </c>
      <c r="D63" s="64">
        <v>1003</v>
      </c>
      <c r="E63" s="292" t="s">
        <v>900</v>
      </c>
      <c r="F63" s="66"/>
      <c r="G63" s="44" t="s">
        <v>948</v>
      </c>
      <c r="H63" s="66"/>
      <c r="I63" s="284">
        <v>1106575</v>
      </c>
      <c r="J63" s="486">
        <v>1106575</v>
      </c>
      <c r="K63" s="78">
        <f t="shared" si="1"/>
        <v>0</v>
      </c>
    </row>
    <row r="64" spans="1:11" x14ac:dyDescent="0.25">
      <c r="A64" s="48">
        <v>42990</v>
      </c>
      <c r="B64" s="132" t="s">
        <v>868</v>
      </c>
      <c r="C64" s="50">
        <v>306</v>
      </c>
      <c r="D64" s="64">
        <v>1004</v>
      </c>
      <c r="E64" s="292" t="s">
        <v>901</v>
      </c>
      <c r="F64" s="66"/>
      <c r="G64" s="44" t="s">
        <v>929</v>
      </c>
      <c r="H64" s="66"/>
      <c r="I64" s="284">
        <v>737717</v>
      </c>
      <c r="J64" s="486">
        <v>737717</v>
      </c>
      <c r="K64" s="78">
        <f t="shared" si="1"/>
        <v>0</v>
      </c>
    </row>
    <row r="65" spans="1:11" x14ac:dyDescent="0.25">
      <c r="A65" s="48">
        <v>42990</v>
      </c>
      <c r="B65" s="132" t="s">
        <v>868</v>
      </c>
      <c r="C65" s="50">
        <v>306</v>
      </c>
      <c r="D65" s="64">
        <v>1005</v>
      </c>
      <c r="E65" s="292" t="s">
        <v>902</v>
      </c>
      <c r="F65" s="66"/>
      <c r="G65" s="44" t="s">
        <v>929</v>
      </c>
      <c r="H65" s="66"/>
      <c r="I65" s="284">
        <v>737717</v>
      </c>
      <c r="J65" s="486">
        <v>737717</v>
      </c>
      <c r="K65" s="78">
        <f t="shared" si="1"/>
        <v>0</v>
      </c>
    </row>
    <row r="66" spans="1:11" x14ac:dyDescent="0.25">
      <c r="A66" s="48">
        <v>42990</v>
      </c>
      <c r="B66" s="132" t="s">
        <v>868</v>
      </c>
      <c r="C66" s="50">
        <v>306</v>
      </c>
      <c r="D66" s="64">
        <v>1006</v>
      </c>
      <c r="E66" s="292" t="s">
        <v>903</v>
      </c>
      <c r="F66" s="66"/>
      <c r="G66" s="44" t="s">
        <v>949</v>
      </c>
      <c r="H66" s="66"/>
      <c r="I66" s="284">
        <v>1106575</v>
      </c>
      <c r="J66" s="486">
        <v>1106575</v>
      </c>
      <c r="K66" s="78">
        <f t="shared" si="1"/>
        <v>0</v>
      </c>
    </row>
    <row r="67" spans="1:11" x14ac:dyDescent="0.25">
      <c r="A67" s="48">
        <v>42990</v>
      </c>
      <c r="B67" s="132" t="s">
        <v>868</v>
      </c>
      <c r="C67" s="50">
        <v>306</v>
      </c>
      <c r="D67" s="64">
        <v>1007</v>
      </c>
      <c r="E67" s="292" t="s">
        <v>904</v>
      </c>
      <c r="F67" s="66"/>
      <c r="G67" s="44" t="s">
        <v>929</v>
      </c>
      <c r="H67" s="66"/>
      <c r="I67" s="284">
        <v>737717</v>
      </c>
      <c r="J67" s="486">
        <v>737717</v>
      </c>
      <c r="K67" s="78">
        <f t="shared" si="1"/>
        <v>0</v>
      </c>
    </row>
    <row r="68" spans="1:11" x14ac:dyDescent="0.25">
      <c r="A68" s="48">
        <v>42990</v>
      </c>
      <c r="B68" s="132" t="s">
        <v>868</v>
      </c>
      <c r="C68" s="50">
        <v>306</v>
      </c>
      <c r="D68" s="64">
        <v>1008</v>
      </c>
      <c r="E68" s="292" t="s">
        <v>905</v>
      </c>
      <c r="F68" s="66"/>
      <c r="G68" s="44" t="s">
        <v>929</v>
      </c>
      <c r="H68" s="66"/>
      <c r="I68" s="284">
        <v>737717</v>
      </c>
      <c r="J68" s="486">
        <v>737717</v>
      </c>
      <c r="K68" s="78">
        <f t="shared" si="1"/>
        <v>0</v>
      </c>
    </row>
    <row r="69" spans="1:11" x14ac:dyDescent="0.25">
      <c r="A69" s="48">
        <v>42990</v>
      </c>
      <c r="B69" s="132" t="s">
        <v>868</v>
      </c>
      <c r="C69" s="50">
        <v>306</v>
      </c>
      <c r="D69" s="64">
        <v>1009</v>
      </c>
      <c r="E69" s="292" t="s">
        <v>906</v>
      </c>
      <c r="F69" s="66"/>
      <c r="G69" s="44" t="s">
        <v>332</v>
      </c>
      <c r="H69" s="66"/>
      <c r="I69" s="284">
        <v>1106575</v>
      </c>
      <c r="J69" s="486">
        <v>1106575</v>
      </c>
      <c r="K69" s="78">
        <f t="shared" si="1"/>
        <v>0</v>
      </c>
    </row>
    <row r="70" spans="1:11" x14ac:dyDescent="0.25">
      <c r="A70" s="48">
        <v>42990</v>
      </c>
      <c r="B70" s="132" t="s">
        <v>868</v>
      </c>
      <c r="C70" s="50">
        <v>306</v>
      </c>
      <c r="D70" s="64">
        <v>1010</v>
      </c>
      <c r="E70" s="292" t="s">
        <v>907</v>
      </c>
      <c r="F70" s="66"/>
      <c r="G70" s="44" t="s">
        <v>929</v>
      </c>
      <c r="H70" s="66"/>
      <c r="I70" s="284">
        <v>737717</v>
      </c>
      <c r="J70" s="486">
        <v>737717</v>
      </c>
      <c r="K70" s="78">
        <f t="shared" si="1"/>
        <v>0</v>
      </c>
    </row>
    <row r="71" spans="1:11" x14ac:dyDescent="0.25">
      <c r="A71" s="48">
        <v>42990</v>
      </c>
      <c r="B71" s="132" t="s">
        <v>868</v>
      </c>
      <c r="C71" s="50">
        <v>306</v>
      </c>
      <c r="D71" s="64">
        <v>1011</v>
      </c>
      <c r="E71" s="292" t="s">
        <v>908</v>
      </c>
      <c r="F71" s="66"/>
      <c r="G71" s="44" t="s">
        <v>950</v>
      </c>
      <c r="H71" s="66"/>
      <c r="I71" s="284">
        <v>1106575</v>
      </c>
      <c r="J71" s="486">
        <v>1106575</v>
      </c>
      <c r="K71" s="78">
        <f t="shared" si="1"/>
        <v>0</v>
      </c>
    </row>
    <row r="72" spans="1:11" x14ac:dyDescent="0.25">
      <c r="A72" s="48">
        <v>42990</v>
      </c>
      <c r="B72" s="132" t="s">
        <v>868</v>
      </c>
      <c r="C72" s="50">
        <v>306</v>
      </c>
      <c r="D72" s="64">
        <v>1012</v>
      </c>
      <c r="E72" s="292" t="s">
        <v>909</v>
      </c>
      <c r="F72" s="66"/>
      <c r="G72" s="44" t="s">
        <v>931</v>
      </c>
      <c r="H72" s="66"/>
      <c r="I72" s="284">
        <v>737717</v>
      </c>
      <c r="J72" s="486">
        <v>737717</v>
      </c>
      <c r="K72" s="78">
        <f t="shared" si="1"/>
        <v>0</v>
      </c>
    </row>
    <row r="73" spans="1:11" x14ac:dyDescent="0.25">
      <c r="A73" s="48">
        <v>42990</v>
      </c>
      <c r="B73" s="132" t="s">
        <v>868</v>
      </c>
      <c r="C73" s="50">
        <v>306</v>
      </c>
      <c r="D73" s="64">
        <v>1013</v>
      </c>
      <c r="E73" s="292" t="s">
        <v>910</v>
      </c>
      <c r="F73" s="66"/>
      <c r="G73" s="44" t="s">
        <v>932</v>
      </c>
      <c r="H73" s="66"/>
      <c r="I73" s="284">
        <v>1106575</v>
      </c>
      <c r="J73" s="486">
        <v>1106575</v>
      </c>
      <c r="K73" s="78">
        <f t="shared" si="1"/>
        <v>0</v>
      </c>
    </row>
    <row r="74" spans="1:11" x14ac:dyDescent="0.25">
      <c r="A74" s="48">
        <v>42990</v>
      </c>
      <c r="B74" s="132" t="s">
        <v>868</v>
      </c>
      <c r="C74" s="50">
        <v>306</v>
      </c>
      <c r="D74" s="64">
        <v>1014</v>
      </c>
      <c r="E74" s="292" t="s">
        <v>911</v>
      </c>
      <c r="F74" s="66"/>
      <c r="G74" s="44" t="s">
        <v>266</v>
      </c>
      <c r="H74" s="66"/>
      <c r="I74" s="284">
        <v>1106575</v>
      </c>
      <c r="J74" s="486">
        <v>1106575</v>
      </c>
      <c r="K74" s="78">
        <f t="shared" si="1"/>
        <v>0</v>
      </c>
    </row>
    <row r="75" spans="1:11" x14ac:dyDescent="0.25">
      <c r="A75" s="48">
        <v>42990</v>
      </c>
      <c r="B75" s="132" t="s">
        <v>868</v>
      </c>
      <c r="C75" s="50">
        <v>306</v>
      </c>
      <c r="D75" s="64">
        <v>1015</v>
      </c>
      <c r="E75" s="292" t="s">
        <v>912</v>
      </c>
      <c r="F75" s="66"/>
      <c r="G75" s="44" t="s">
        <v>929</v>
      </c>
      <c r="H75" s="66"/>
      <c r="I75" s="284">
        <v>737717</v>
      </c>
      <c r="J75" s="486">
        <v>737717</v>
      </c>
      <c r="K75" s="78">
        <f t="shared" si="1"/>
        <v>0</v>
      </c>
    </row>
    <row r="76" spans="1:11" x14ac:dyDescent="0.25">
      <c r="A76" s="48">
        <v>42990</v>
      </c>
      <c r="B76" s="132" t="s">
        <v>868</v>
      </c>
      <c r="C76" s="50">
        <v>306</v>
      </c>
      <c r="D76" s="64">
        <v>1016</v>
      </c>
      <c r="E76" s="292" t="s">
        <v>913</v>
      </c>
      <c r="F76" s="66"/>
      <c r="G76" s="44" t="s">
        <v>929</v>
      </c>
      <c r="H76" s="66"/>
      <c r="I76" s="284">
        <v>737717</v>
      </c>
      <c r="J76" s="486">
        <v>737717</v>
      </c>
      <c r="K76" s="78">
        <f t="shared" si="1"/>
        <v>0</v>
      </c>
    </row>
    <row r="77" spans="1:11" x14ac:dyDescent="0.25">
      <c r="A77" s="48">
        <v>42990</v>
      </c>
      <c r="B77" s="132" t="s">
        <v>868</v>
      </c>
      <c r="C77" s="50">
        <v>306</v>
      </c>
      <c r="D77" s="64">
        <v>1017</v>
      </c>
      <c r="E77" s="292" t="s">
        <v>914</v>
      </c>
      <c r="F77" s="66"/>
      <c r="G77" s="44" t="s">
        <v>929</v>
      </c>
      <c r="H77" s="66"/>
      <c r="I77" s="284">
        <v>737717</v>
      </c>
      <c r="J77" s="486">
        <v>737717</v>
      </c>
      <c r="K77" s="78">
        <f t="shared" si="1"/>
        <v>0</v>
      </c>
    </row>
    <row r="78" spans="1:11" x14ac:dyDescent="0.25">
      <c r="A78" s="48">
        <v>42990</v>
      </c>
      <c r="B78" s="132" t="s">
        <v>868</v>
      </c>
      <c r="C78" s="50">
        <v>306</v>
      </c>
      <c r="D78" s="64">
        <v>1018</v>
      </c>
      <c r="E78" s="292" t="s">
        <v>915</v>
      </c>
      <c r="F78" s="66"/>
      <c r="G78" s="44" t="s">
        <v>951</v>
      </c>
      <c r="H78" s="66"/>
      <c r="I78" s="284">
        <v>1106575</v>
      </c>
      <c r="J78" s="486">
        <v>1106575</v>
      </c>
      <c r="K78" s="78">
        <f t="shared" si="1"/>
        <v>0</v>
      </c>
    </row>
    <row r="79" spans="1:11" x14ac:dyDescent="0.25">
      <c r="A79" s="48">
        <v>42990</v>
      </c>
      <c r="B79" s="132" t="s">
        <v>868</v>
      </c>
      <c r="C79" s="50">
        <v>306</v>
      </c>
      <c r="D79" s="64">
        <v>1019</v>
      </c>
      <c r="E79" s="292" t="s">
        <v>916</v>
      </c>
      <c r="F79" s="66"/>
      <c r="G79" s="44" t="s">
        <v>929</v>
      </c>
      <c r="H79" s="66"/>
      <c r="I79" s="284">
        <v>737717</v>
      </c>
      <c r="J79" s="486">
        <v>737717</v>
      </c>
      <c r="K79" s="78">
        <f t="shared" si="1"/>
        <v>0</v>
      </c>
    </row>
    <row r="80" spans="1:11" x14ac:dyDescent="0.25">
      <c r="A80" s="48">
        <v>42990</v>
      </c>
      <c r="B80" s="132" t="s">
        <v>868</v>
      </c>
      <c r="C80" s="50">
        <v>306</v>
      </c>
      <c r="D80" s="64">
        <v>1020</v>
      </c>
      <c r="E80" s="292" t="s">
        <v>917</v>
      </c>
      <c r="F80" s="66"/>
      <c r="G80" s="44" t="s">
        <v>952</v>
      </c>
      <c r="H80" s="66"/>
      <c r="I80" s="284">
        <v>737717</v>
      </c>
      <c r="J80" s="486">
        <v>737717</v>
      </c>
      <c r="K80" s="78">
        <f t="shared" si="1"/>
        <v>0</v>
      </c>
    </row>
    <row r="81" spans="1:11" x14ac:dyDescent="0.25">
      <c r="A81" s="48">
        <v>42990</v>
      </c>
      <c r="B81" s="132" t="s">
        <v>868</v>
      </c>
      <c r="C81" s="50">
        <v>306</v>
      </c>
      <c r="D81" s="64">
        <v>1021</v>
      </c>
      <c r="E81" s="292" t="s">
        <v>918</v>
      </c>
      <c r="F81" s="66"/>
      <c r="G81" s="44" t="s">
        <v>953</v>
      </c>
      <c r="H81" s="66"/>
      <c r="I81" s="284">
        <v>1106575</v>
      </c>
      <c r="J81" s="486">
        <v>1106575</v>
      </c>
      <c r="K81" s="78">
        <f t="shared" si="1"/>
        <v>0</v>
      </c>
    </row>
    <row r="82" spans="1:11" x14ac:dyDescent="0.25">
      <c r="A82" s="48">
        <v>42990</v>
      </c>
      <c r="B82" s="132" t="s">
        <v>868</v>
      </c>
      <c r="C82" s="50">
        <v>306</v>
      </c>
      <c r="D82" s="64">
        <v>1024</v>
      </c>
      <c r="E82" s="292" t="s">
        <v>919</v>
      </c>
      <c r="F82" s="66"/>
      <c r="G82" s="44" t="s">
        <v>954</v>
      </c>
      <c r="H82" s="66"/>
      <c r="I82" s="284">
        <v>737717</v>
      </c>
      <c r="J82" s="486">
        <v>737717</v>
      </c>
      <c r="K82" s="78">
        <f t="shared" si="1"/>
        <v>0</v>
      </c>
    </row>
    <row r="83" spans="1:11" x14ac:dyDescent="0.25">
      <c r="A83" s="48">
        <v>42990</v>
      </c>
      <c r="B83" s="132" t="s">
        <v>868</v>
      </c>
      <c r="C83" s="50">
        <v>306</v>
      </c>
      <c r="D83" s="64">
        <v>1025</v>
      </c>
      <c r="E83" s="292" t="s">
        <v>920</v>
      </c>
      <c r="F83" s="66"/>
      <c r="G83" s="44" t="s">
        <v>955</v>
      </c>
      <c r="H83" s="66"/>
      <c r="I83" s="284">
        <v>737717</v>
      </c>
      <c r="J83" s="486">
        <v>737717</v>
      </c>
      <c r="K83" s="78">
        <f t="shared" si="1"/>
        <v>0</v>
      </c>
    </row>
    <row r="84" spans="1:11" x14ac:dyDescent="0.25">
      <c r="A84" s="48">
        <v>42990</v>
      </c>
      <c r="B84" s="132" t="s">
        <v>868</v>
      </c>
      <c r="C84" s="50">
        <v>306</v>
      </c>
      <c r="D84" s="64">
        <v>1026</v>
      </c>
      <c r="E84" s="292" t="s">
        <v>921</v>
      </c>
      <c r="F84" s="66"/>
      <c r="G84" s="44" t="s">
        <v>956</v>
      </c>
      <c r="H84" s="66"/>
      <c r="I84" s="284">
        <v>1106575</v>
      </c>
      <c r="J84" s="486">
        <v>1106575</v>
      </c>
      <c r="K84" s="78">
        <f t="shared" si="1"/>
        <v>0</v>
      </c>
    </row>
    <row r="85" spans="1:11" x14ac:dyDescent="0.25">
      <c r="A85" s="48">
        <v>42990</v>
      </c>
      <c r="B85" s="132" t="s">
        <v>868</v>
      </c>
      <c r="C85" s="50">
        <v>306</v>
      </c>
      <c r="D85" s="64">
        <v>1027</v>
      </c>
      <c r="E85" s="292" t="s">
        <v>922</v>
      </c>
      <c r="F85" s="66"/>
      <c r="G85" s="44" t="s">
        <v>957</v>
      </c>
      <c r="H85" s="66"/>
      <c r="I85" s="284">
        <v>737717</v>
      </c>
      <c r="J85" s="486">
        <v>737717</v>
      </c>
      <c r="K85" s="78">
        <f t="shared" si="1"/>
        <v>0</v>
      </c>
    </row>
    <row r="86" spans="1:11" x14ac:dyDescent="0.25">
      <c r="A86" s="48">
        <v>42990</v>
      </c>
      <c r="B86" s="132" t="s">
        <v>868</v>
      </c>
      <c r="C86" s="50">
        <v>306</v>
      </c>
      <c r="D86" s="64">
        <v>1028</v>
      </c>
      <c r="E86" s="292" t="s">
        <v>923</v>
      </c>
      <c r="F86" s="66"/>
      <c r="G86" s="44" t="s">
        <v>958</v>
      </c>
      <c r="H86" s="66"/>
      <c r="I86" s="284">
        <v>1106575</v>
      </c>
      <c r="J86" s="486">
        <v>1106575</v>
      </c>
      <c r="K86" s="78">
        <f t="shared" si="1"/>
        <v>0</v>
      </c>
    </row>
    <row r="87" spans="1:11" x14ac:dyDescent="0.25">
      <c r="A87" s="48">
        <v>42990</v>
      </c>
      <c r="B87" s="132" t="s">
        <v>869</v>
      </c>
      <c r="C87" s="50">
        <v>306</v>
      </c>
      <c r="D87" s="64">
        <v>1029</v>
      </c>
      <c r="E87" s="292" t="s">
        <v>924</v>
      </c>
      <c r="F87" s="66"/>
      <c r="G87" s="44" t="s">
        <v>929</v>
      </c>
      <c r="H87" s="66"/>
      <c r="I87" s="284">
        <v>8114887</v>
      </c>
      <c r="J87" s="486">
        <v>8114887</v>
      </c>
      <c r="K87" s="78">
        <f>+I87-J87</f>
        <v>0</v>
      </c>
    </row>
    <row r="88" spans="1:11" x14ac:dyDescent="0.25">
      <c r="A88" s="48">
        <v>42990</v>
      </c>
      <c r="B88" s="132" t="s">
        <v>869</v>
      </c>
      <c r="C88" s="50">
        <v>306</v>
      </c>
      <c r="D88" s="64">
        <v>1030</v>
      </c>
      <c r="E88" s="292" t="s">
        <v>925</v>
      </c>
      <c r="F88" s="66"/>
      <c r="G88" s="44" t="s">
        <v>929</v>
      </c>
      <c r="H88" s="66"/>
      <c r="I88" s="284">
        <v>5164019</v>
      </c>
      <c r="J88" s="486">
        <v>5164019</v>
      </c>
      <c r="K88" s="78">
        <f>+I88-J88</f>
        <v>0</v>
      </c>
    </row>
    <row r="89" spans="1:11" x14ac:dyDescent="0.25">
      <c r="A89" s="48">
        <v>42990</v>
      </c>
      <c r="B89" s="132" t="s">
        <v>868</v>
      </c>
      <c r="C89" s="50">
        <v>306</v>
      </c>
      <c r="D89" s="64">
        <v>1031</v>
      </c>
      <c r="E89" s="292" t="s">
        <v>926</v>
      </c>
      <c r="F89" s="66"/>
      <c r="G89" s="44" t="s">
        <v>929</v>
      </c>
      <c r="H89" s="66"/>
      <c r="I89" s="284">
        <v>737717</v>
      </c>
      <c r="J89" s="486">
        <v>737717</v>
      </c>
      <c r="K89" s="78">
        <f>+I89-J89</f>
        <v>0</v>
      </c>
    </row>
    <row r="90" spans="1:11" x14ac:dyDescent="0.25">
      <c r="A90" s="48">
        <v>42990</v>
      </c>
      <c r="B90" s="132" t="s">
        <v>869</v>
      </c>
      <c r="C90" s="50">
        <v>306</v>
      </c>
      <c r="D90" s="64">
        <v>1032</v>
      </c>
      <c r="E90" s="292" t="s">
        <v>927</v>
      </c>
      <c r="F90" s="66"/>
      <c r="G90" s="44" t="s">
        <v>959</v>
      </c>
      <c r="H90" s="66"/>
      <c r="I90" s="284">
        <v>5164019</v>
      </c>
      <c r="J90" s="486">
        <v>5164019</v>
      </c>
      <c r="K90" s="78">
        <f>+I90-J90</f>
        <v>0</v>
      </c>
    </row>
    <row r="91" spans="1:11" x14ac:dyDescent="0.25">
      <c r="A91" s="48">
        <v>42990</v>
      </c>
      <c r="B91" s="132" t="s">
        <v>868</v>
      </c>
      <c r="C91" s="50">
        <v>306</v>
      </c>
      <c r="D91" s="64">
        <v>1033</v>
      </c>
      <c r="E91" s="292" t="s">
        <v>928</v>
      </c>
      <c r="F91" s="66"/>
      <c r="G91" s="44" t="s">
        <v>960</v>
      </c>
      <c r="H91" s="66"/>
      <c r="I91" s="284">
        <v>1106575</v>
      </c>
      <c r="J91" s="486">
        <v>1106575</v>
      </c>
      <c r="K91" s="78">
        <f>+I91-J91</f>
        <v>0</v>
      </c>
    </row>
    <row r="92" spans="1:11" x14ac:dyDescent="0.25">
      <c r="A92" s="48">
        <v>43000</v>
      </c>
      <c r="B92" s="132" t="s">
        <v>984</v>
      </c>
      <c r="C92" s="50">
        <v>823</v>
      </c>
      <c r="D92" s="64">
        <v>1056</v>
      </c>
      <c r="E92" s="292" t="s">
        <v>985</v>
      </c>
      <c r="F92" s="66"/>
      <c r="G92" s="44" t="s">
        <v>295</v>
      </c>
      <c r="H92" s="66"/>
      <c r="I92" s="284">
        <v>1106575</v>
      </c>
      <c r="J92" s="486">
        <v>1106575</v>
      </c>
      <c r="K92" s="78">
        <f t="shared" ref="K92:K135" si="2">+I92-J92</f>
        <v>0</v>
      </c>
    </row>
    <row r="93" spans="1:11" x14ac:dyDescent="0.25">
      <c r="A93" s="48">
        <v>43000</v>
      </c>
      <c r="B93" s="132" t="s">
        <v>984</v>
      </c>
      <c r="C93" s="50">
        <v>823</v>
      </c>
      <c r="D93" s="64">
        <v>1057</v>
      </c>
      <c r="E93" s="292" t="s">
        <v>986</v>
      </c>
      <c r="F93" s="66"/>
      <c r="G93" s="44" t="s">
        <v>1028</v>
      </c>
      <c r="H93" s="66"/>
      <c r="I93" s="284">
        <v>1106575</v>
      </c>
      <c r="J93" s="486">
        <v>1106575</v>
      </c>
      <c r="K93" s="78">
        <f t="shared" si="2"/>
        <v>0</v>
      </c>
    </row>
    <row r="94" spans="1:11" x14ac:dyDescent="0.25">
      <c r="A94" s="48">
        <v>43000</v>
      </c>
      <c r="B94" s="132" t="s">
        <v>984</v>
      </c>
      <c r="C94" s="50">
        <v>823</v>
      </c>
      <c r="D94" s="64">
        <v>1058</v>
      </c>
      <c r="E94" s="292" t="s">
        <v>987</v>
      </c>
      <c r="F94" s="66"/>
      <c r="G94" s="44" t="s">
        <v>1029</v>
      </c>
      <c r="H94" s="66"/>
      <c r="I94" s="284">
        <v>1106575</v>
      </c>
      <c r="J94" s="486">
        <v>1106575</v>
      </c>
      <c r="K94" s="78">
        <f t="shared" si="2"/>
        <v>0</v>
      </c>
    </row>
    <row r="95" spans="1:11" x14ac:dyDescent="0.25">
      <c r="A95" s="48">
        <v>43000</v>
      </c>
      <c r="B95" s="132" t="s">
        <v>984</v>
      </c>
      <c r="C95" s="50">
        <v>823</v>
      </c>
      <c r="D95" s="64">
        <v>1059</v>
      </c>
      <c r="E95" s="292" t="s">
        <v>988</v>
      </c>
      <c r="F95" s="66"/>
      <c r="G95" s="44" t="s">
        <v>1030</v>
      </c>
      <c r="H95" s="66"/>
      <c r="I95" s="284">
        <v>1106575</v>
      </c>
      <c r="J95" s="486">
        <v>1106575</v>
      </c>
      <c r="K95" s="78">
        <f t="shared" si="2"/>
        <v>0</v>
      </c>
    </row>
    <row r="96" spans="1:11" x14ac:dyDescent="0.25">
      <c r="A96" s="48">
        <v>43000</v>
      </c>
      <c r="B96" s="132" t="s">
        <v>984</v>
      </c>
      <c r="C96" s="50">
        <v>823</v>
      </c>
      <c r="D96" s="64">
        <v>1060</v>
      </c>
      <c r="E96" s="292" t="s">
        <v>989</v>
      </c>
      <c r="F96" s="66"/>
      <c r="G96" s="44" t="s">
        <v>1031</v>
      </c>
      <c r="H96" s="66"/>
      <c r="I96" s="284">
        <v>1106575</v>
      </c>
      <c r="J96" s="486">
        <v>1106575</v>
      </c>
      <c r="K96" s="78">
        <f t="shared" si="2"/>
        <v>0</v>
      </c>
    </row>
    <row r="97" spans="1:11" x14ac:dyDescent="0.25">
      <c r="A97" s="48">
        <v>43000</v>
      </c>
      <c r="B97" s="132" t="s">
        <v>984</v>
      </c>
      <c r="C97" s="50">
        <v>823</v>
      </c>
      <c r="D97" s="64">
        <v>1061</v>
      </c>
      <c r="E97" s="292" t="s">
        <v>990</v>
      </c>
      <c r="F97" s="66"/>
      <c r="G97" s="44" t="s">
        <v>929</v>
      </c>
      <c r="H97" s="66"/>
      <c r="I97" s="284">
        <v>737717</v>
      </c>
      <c r="J97" s="486">
        <v>737717</v>
      </c>
      <c r="K97" s="78">
        <f t="shared" si="2"/>
        <v>0</v>
      </c>
    </row>
    <row r="98" spans="1:11" x14ac:dyDescent="0.25">
      <c r="A98" s="48">
        <v>43000</v>
      </c>
      <c r="B98" s="132" t="s">
        <v>984</v>
      </c>
      <c r="C98" s="50">
        <v>823</v>
      </c>
      <c r="D98" s="64">
        <v>1062</v>
      </c>
      <c r="E98" s="292" t="s">
        <v>991</v>
      </c>
      <c r="F98" s="66"/>
      <c r="G98" s="44" t="s">
        <v>929</v>
      </c>
      <c r="H98" s="66"/>
      <c r="I98" s="284">
        <v>737717</v>
      </c>
      <c r="J98" s="486">
        <v>737717</v>
      </c>
      <c r="K98" s="78">
        <f t="shared" si="2"/>
        <v>0</v>
      </c>
    </row>
    <row r="99" spans="1:11" x14ac:dyDescent="0.25">
      <c r="A99" s="48">
        <v>43000</v>
      </c>
      <c r="B99" s="132" t="s">
        <v>984</v>
      </c>
      <c r="C99" s="50">
        <v>823</v>
      </c>
      <c r="D99" s="64">
        <v>1063</v>
      </c>
      <c r="E99" s="292" t="s">
        <v>992</v>
      </c>
      <c r="F99" s="66"/>
      <c r="G99" s="44" t="s">
        <v>1032</v>
      </c>
      <c r="H99" s="66"/>
      <c r="I99" s="284">
        <v>1106575</v>
      </c>
      <c r="J99" s="486">
        <v>1106575</v>
      </c>
      <c r="K99" s="78">
        <f t="shared" si="2"/>
        <v>0</v>
      </c>
    </row>
    <row r="100" spans="1:11" x14ac:dyDescent="0.25">
      <c r="A100" s="48">
        <v>43000</v>
      </c>
      <c r="B100" s="132" t="s">
        <v>984</v>
      </c>
      <c r="C100" s="50">
        <v>823</v>
      </c>
      <c r="D100" s="64">
        <v>1064</v>
      </c>
      <c r="E100" s="292" t="s">
        <v>993</v>
      </c>
      <c r="F100" s="66"/>
      <c r="G100" s="44" t="s">
        <v>267</v>
      </c>
      <c r="H100" s="66"/>
      <c r="I100" s="284">
        <v>1106575</v>
      </c>
      <c r="J100" s="486">
        <v>1106575</v>
      </c>
      <c r="K100" s="78">
        <f t="shared" si="2"/>
        <v>0</v>
      </c>
    </row>
    <row r="101" spans="1:11" x14ac:dyDescent="0.25">
      <c r="A101" s="48">
        <v>43000</v>
      </c>
      <c r="B101" s="132" t="s">
        <v>984</v>
      </c>
      <c r="C101" s="50">
        <v>823</v>
      </c>
      <c r="D101" s="64">
        <v>1065</v>
      </c>
      <c r="E101" s="292" t="s">
        <v>994</v>
      </c>
      <c r="F101" s="66"/>
      <c r="G101" s="44" t="s">
        <v>267</v>
      </c>
      <c r="H101" s="66"/>
      <c r="I101" s="284">
        <v>1106575</v>
      </c>
      <c r="J101" s="486">
        <v>1106575</v>
      </c>
      <c r="K101" s="78">
        <f t="shared" si="2"/>
        <v>0</v>
      </c>
    </row>
    <row r="102" spans="1:11" x14ac:dyDescent="0.25">
      <c r="A102" s="48">
        <v>43000</v>
      </c>
      <c r="B102" s="132" t="s">
        <v>984</v>
      </c>
      <c r="C102" s="50">
        <v>823</v>
      </c>
      <c r="D102" s="64">
        <v>1066</v>
      </c>
      <c r="E102" s="292" t="s">
        <v>995</v>
      </c>
      <c r="F102" s="66"/>
      <c r="G102" s="44" t="s">
        <v>1033</v>
      </c>
      <c r="H102" s="66"/>
      <c r="I102" s="284">
        <v>737717</v>
      </c>
      <c r="J102" s="486">
        <v>737717</v>
      </c>
      <c r="K102" s="78">
        <f t="shared" si="2"/>
        <v>0</v>
      </c>
    </row>
    <row r="103" spans="1:11" x14ac:dyDescent="0.25">
      <c r="A103" s="48">
        <v>43000</v>
      </c>
      <c r="B103" s="132" t="s">
        <v>984</v>
      </c>
      <c r="C103" s="50">
        <v>823</v>
      </c>
      <c r="D103" s="64">
        <v>1067</v>
      </c>
      <c r="E103" s="292" t="s">
        <v>996</v>
      </c>
      <c r="F103" s="66"/>
      <c r="G103" s="44" t="s">
        <v>1034</v>
      </c>
      <c r="H103" s="66"/>
      <c r="I103" s="284">
        <v>1106575</v>
      </c>
      <c r="J103" s="486">
        <v>1106575</v>
      </c>
      <c r="K103" s="78">
        <f t="shared" si="2"/>
        <v>0</v>
      </c>
    </row>
    <row r="104" spans="1:11" x14ac:dyDescent="0.25">
      <c r="A104" s="48">
        <v>43000</v>
      </c>
      <c r="B104" s="132" t="s">
        <v>984</v>
      </c>
      <c r="C104" s="50">
        <v>823</v>
      </c>
      <c r="D104" s="64">
        <v>1068</v>
      </c>
      <c r="E104" s="292" t="s">
        <v>997</v>
      </c>
      <c r="F104" s="66"/>
      <c r="G104" s="44" t="s">
        <v>929</v>
      </c>
      <c r="H104" s="66"/>
      <c r="I104" s="284">
        <v>737717</v>
      </c>
      <c r="J104" s="486">
        <v>737717</v>
      </c>
      <c r="K104" s="78">
        <f t="shared" si="2"/>
        <v>0</v>
      </c>
    </row>
    <row r="105" spans="1:11" x14ac:dyDescent="0.25">
      <c r="A105" s="48">
        <v>43000</v>
      </c>
      <c r="B105" s="132" t="s">
        <v>984</v>
      </c>
      <c r="C105" s="50">
        <v>823</v>
      </c>
      <c r="D105" s="64">
        <v>1069</v>
      </c>
      <c r="E105" s="292" t="s">
        <v>998</v>
      </c>
      <c r="F105" s="66"/>
      <c r="G105" s="44" t="s">
        <v>1035</v>
      </c>
      <c r="H105" s="66"/>
      <c r="I105" s="284">
        <v>1106575</v>
      </c>
      <c r="J105" s="486">
        <v>1106575</v>
      </c>
      <c r="K105" s="78">
        <f t="shared" si="2"/>
        <v>0</v>
      </c>
    </row>
    <row r="106" spans="1:11" x14ac:dyDescent="0.25">
      <c r="A106" s="48">
        <v>43000</v>
      </c>
      <c r="B106" s="132" t="s">
        <v>984</v>
      </c>
      <c r="C106" s="50">
        <v>823</v>
      </c>
      <c r="D106" s="64">
        <v>1070</v>
      </c>
      <c r="E106" s="292" t="s">
        <v>999</v>
      </c>
      <c r="F106" s="66"/>
      <c r="G106" s="44" t="s">
        <v>267</v>
      </c>
      <c r="H106" s="66"/>
      <c r="I106" s="284">
        <v>1106575</v>
      </c>
      <c r="J106" s="486">
        <v>1106575</v>
      </c>
      <c r="K106" s="78">
        <f t="shared" si="2"/>
        <v>0</v>
      </c>
    </row>
    <row r="107" spans="1:11" x14ac:dyDescent="0.25">
      <c r="A107" s="48">
        <v>43000</v>
      </c>
      <c r="B107" s="132" t="s">
        <v>984</v>
      </c>
      <c r="C107" s="50">
        <v>823</v>
      </c>
      <c r="D107" s="64">
        <v>1071</v>
      </c>
      <c r="E107" s="292" t="s">
        <v>1000</v>
      </c>
      <c r="F107" s="66"/>
      <c r="G107" s="44" t="s">
        <v>929</v>
      </c>
      <c r="H107" s="66"/>
      <c r="I107" s="284">
        <v>737717</v>
      </c>
      <c r="J107" s="486">
        <v>737717</v>
      </c>
      <c r="K107" s="78">
        <f t="shared" si="2"/>
        <v>0</v>
      </c>
    </row>
    <row r="108" spans="1:11" x14ac:dyDescent="0.25">
      <c r="A108" s="48">
        <v>43000</v>
      </c>
      <c r="B108" s="132" t="s">
        <v>984</v>
      </c>
      <c r="C108" s="50">
        <v>823</v>
      </c>
      <c r="D108" s="64">
        <v>1072</v>
      </c>
      <c r="E108" s="292" t="s">
        <v>1001</v>
      </c>
      <c r="F108" s="66"/>
      <c r="G108" s="44" t="s">
        <v>1036</v>
      </c>
      <c r="H108" s="66"/>
      <c r="I108" s="284">
        <v>1106575</v>
      </c>
      <c r="J108" s="486">
        <v>1106575</v>
      </c>
      <c r="K108" s="78">
        <f t="shared" si="2"/>
        <v>0</v>
      </c>
    </row>
    <row r="109" spans="1:11" x14ac:dyDescent="0.25">
      <c r="A109" s="48">
        <v>43000</v>
      </c>
      <c r="B109" s="132" t="s">
        <v>984</v>
      </c>
      <c r="C109" s="50">
        <v>823</v>
      </c>
      <c r="D109" s="64">
        <v>1073</v>
      </c>
      <c r="E109" s="292" t="s">
        <v>1002</v>
      </c>
      <c r="F109" s="66"/>
      <c r="G109" s="44" t="s">
        <v>1037</v>
      </c>
      <c r="H109" s="66"/>
      <c r="I109" s="284">
        <v>1106575</v>
      </c>
      <c r="J109" s="486">
        <v>1106575</v>
      </c>
      <c r="K109" s="78">
        <f t="shared" si="2"/>
        <v>0</v>
      </c>
    </row>
    <row r="110" spans="1:11" x14ac:dyDescent="0.25">
      <c r="A110" s="48">
        <v>43000</v>
      </c>
      <c r="B110" s="132" t="s">
        <v>984</v>
      </c>
      <c r="C110" s="50">
        <v>823</v>
      </c>
      <c r="D110" s="64">
        <v>1074</v>
      </c>
      <c r="E110" s="292" t="s">
        <v>1003</v>
      </c>
      <c r="F110" s="66"/>
      <c r="G110" s="44" t="s">
        <v>1033</v>
      </c>
      <c r="H110" s="66"/>
      <c r="I110" s="284">
        <v>737717</v>
      </c>
      <c r="J110" s="486">
        <v>737717</v>
      </c>
      <c r="K110" s="78">
        <f t="shared" si="2"/>
        <v>0</v>
      </c>
    </row>
    <row r="111" spans="1:11" x14ac:dyDescent="0.25">
      <c r="A111" s="48">
        <v>43000</v>
      </c>
      <c r="B111" s="132" t="s">
        <v>984</v>
      </c>
      <c r="C111" s="50">
        <v>823</v>
      </c>
      <c r="D111" s="64">
        <v>1075</v>
      </c>
      <c r="E111" s="292" t="s">
        <v>1004</v>
      </c>
      <c r="F111" s="66"/>
      <c r="G111" s="44" t="s">
        <v>267</v>
      </c>
      <c r="H111" s="66"/>
      <c r="I111" s="284">
        <v>1106575</v>
      </c>
      <c r="J111" s="486">
        <v>1106575</v>
      </c>
      <c r="K111" s="78">
        <f t="shared" si="2"/>
        <v>0</v>
      </c>
    </row>
    <row r="112" spans="1:11" x14ac:dyDescent="0.25">
      <c r="A112" s="48">
        <v>43000</v>
      </c>
      <c r="B112" s="132" t="s">
        <v>984</v>
      </c>
      <c r="C112" s="50">
        <v>823</v>
      </c>
      <c r="D112" s="64">
        <v>1076</v>
      </c>
      <c r="E112" s="292" t="s">
        <v>1005</v>
      </c>
      <c r="F112" s="66"/>
      <c r="G112" s="44" t="s">
        <v>952</v>
      </c>
      <c r="H112" s="66"/>
      <c r="I112" s="284">
        <v>737717</v>
      </c>
      <c r="J112" s="486">
        <v>737717</v>
      </c>
      <c r="K112" s="78">
        <f t="shared" si="2"/>
        <v>0</v>
      </c>
    </row>
    <row r="113" spans="1:11" x14ac:dyDescent="0.25">
      <c r="A113" s="48">
        <v>43000</v>
      </c>
      <c r="B113" s="132" t="s">
        <v>984</v>
      </c>
      <c r="C113" s="50">
        <v>823</v>
      </c>
      <c r="D113" s="64">
        <v>1077</v>
      </c>
      <c r="E113" s="292" t="s">
        <v>1006</v>
      </c>
      <c r="F113" s="66"/>
      <c r="G113" s="44" t="s">
        <v>929</v>
      </c>
      <c r="H113" s="66"/>
      <c r="I113" s="284">
        <v>737717</v>
      </c>
      <c r="J113" s="486">
        <v>737717</v>
      </c>
      <c r="K113" s="78">
        <f t="shared" si="2"/>
        <v>0</v>
      </c>
    </row>
    <row r="114" spans="1:11" x14ac:dyDescent="0.25">
      <c r="A114" s="48">
        <v>43000</v>
      </c>
      <c r="B114" s="132" t="s">
        <v>984</v>
      </c>
      <c r="C114" s="50">
        <v>823</v>
      </c>
      <c r="D114" s="64">
        <v>1078</v>
      </c>
      <c r="E114" s="292" t="s">
        <v>1007</v>
      </c>
      <c r="F114" s="66"/>
      <c r="G114" s="44" t="s">
        <v>1038</v>
      </c>
      <c r="H114" s="66"/>
      <c r="I114" s="284">
        <v>737717</v>
      </c>
      <c r="J114" s="486">
        <v>737717</v>
      </c>
      <c r="K114" s="78">
        <f t="shared" si="2"/>
        <v>0</v>
      </c>
    </row>
    <row r="115" spans="1:11" x14ac:dyDescent="0.25">
      <c r="A115" s="48">
        <v>43000</v>
      </c>
      <c r="B115" s="132" t="s">
        <v>984</v>
      </c>
      <c r="C115" s="50">
        <v>823</v>
      </c>
      <c r="D115" s="64">
        <v>1079</v>
      </c>
      <c r="E115" s="292" t="s">
        <v>1008</v>
      </c>
      <c r="F115" s="66"/>
      <c r="G115" s="44" t="s">
        <v>933</v>
      </c>
      <c r="H115" s="66"/>
      <c r="I115" s="284">
        <v>737717</v>
      </c>
      <c r="J115" s="486">
        <v>737717</v>
      </c>
      <c r="K115" s="78">
        <f t="shared" si="2"/>
        <v>0</v>
      </c>
    </row>
    <row r="116" spans="1:11" x14ac:dyDescent="0.25">
      <c r="A116" s="48">
        <v>43000</v>
      </c>
      <c r="B116" s="132" t="s">
        <v>984</v>
      </c>
      <c r="C116" s="50">
        <v>823</v>
      </c>
      <c r="D116" s="64">
        <v>1080</v>
      </c>
      <c r="E116" s="292" t="s">
        <v>1009</v>
      </c>
      <c r="F116" s="66"/>
      <c r="G116" s="44" t="s">
        <v>1039</v>
      </c>
      <c r="H116" s="66"/>
      <c r="I116" s="284">
        <v>1106575</v>
      </c>
      <c r="J116" s="486">
        <v>1106575</v>
      </c>
      <c r="K116" s="78">
        <f t="shared" si="2"/>
        <v>0</v>
      </c>
    </row>
    <row r="117" spans="1:11" x14ac:dyDescent="0.25">
      <c r="A117" s="48">
        <v>43000</v>
      </c>
      <c r="B117" s="132" t="s">
        <v>984</v>
      </c>
      <c r="C117" s="50">
        <v>823</v>
      </c>
      <c r="D117" s="64">
        <v>1081</v>
      </c>
      <c r="E117" s="292" t="s">
        <v>1010</v>
      </c>
      <c r="F117" s="66"/>
      <c r="G117" s="44" t="s">
        <v>1040</v>
      </c>
      <c r="H117" s="66"/>
      <c r="I117" s="284">
        <v>1106575</v>
      </c>
      <c r="J117" s="486">
        <v>1106575</v>
      </c>
      <c r="K117" s="78">
        <f t="shared" si="2"/>
        <v>0</v>
      </c>
    </row>
    <row r="118" spans="1:11" x14ac:dyDescent="0.25">
      <c r="A118" s="48">
        <v>43000</v>
      </c>
      <c r="B118" s="132" t="s">
        <v>984</v>
      </c>
      <c r="C118" s="50">
        <v>823</v>
      </c>
      <c r="D118" s="64">
        <v>1082</v>
      </c>
      <c r="E118" s="292" t="s">
        <v>1011</v>
      </c>
      <c r="F118" s="66"/>
      <c r="G118" s="44" t="s">
        <v>929</v>
      </c>
      <c r="H118" s="66"/>
      <c r="I118" s="284">
        <v>737717</v>
      </c>
      <c r="J118" s="486">
        <v>737717</v>
      </c>
      <c r="K118" s="78">
        <f t="shared" si="2"/>
        <v>0</v>
      </c>
    </row>
    <row r="119" spans="1:11" x14ac:dyDescent="0.25">
      <c r="A119" s="48">
        <v>43000</v>
      </c>
      <c r="B119" s="132" t="s">
        <v>984</v>
      </c>
      <c r="C119" s="50">
        <v>823</v>
      </c>
      <c r="D119" s="64">
        <v>1083</v>
      </c>
      <c r="E119" s="292" t="s">
        <v>1012</v>
      </c>
      <c r="F119" s="66"/>
      <c r="G119" s="44" t="s">
        <v>266</v>
      </c>
      <c r="H119" s="66"/>
      <c r="I119" s="284">
        <v>1106575</v>
      </c>
      <c r="J119" s="486">
        <v>1106575</v>
      </c>
      <c r="K119" s="78">
        <f t="shared" si="2"/>
        <v>0</v>
      </c>
    </row>
    <row r="120" spans="1:11" x14ac:dyDescent="0.25">
      <c r="A120" s="48">
        <v>43000</v>
      </c>
      <c r="B120" s="132" t="s">
        <v>984</v>
      </c>
      <c r="C120" s="50">
        <v>823</v>
      </c>
      <c r="D120" s="64">
        <v>1084</v>
      </c>
      <c r="E120" s="292" t="s">
        <v>1013</v>
      </c>
      <c r="F120" s="66"/>
      <c r="G120" s="44" t="s">
        <v>954</v>
      </c>
      <c r="H120" s="66"/>
      <c r="I120" s="284">
        <v>737717</v>
      </c>
      <c r="J120" s="486">
        <v>737717</v>
      </c>
      <c r="K120" s="78">
        <f t="shared" si="2"/>
        <v>0</v>
      </c>
    </row>
    <row r="121" spans="1:11" x14ac:dyDescent="0.25">
      <c r="A121" s="48">
        <v>43000</v>
      </c>
      <c r="B121" s="132" t="s">
        <v>984</v>
      </c>
      <c r="C121" s="50">
        <v>823</v>
      </c>
      <c r="D121" s="64">
        <v>1085</v>
      </c>
      <c r="E121" s="292" t="s">
        <v>1014</v>
      </c>
      <c r="F121" s="66"/>
      <c r="G121" s="44" t="s">
        <v>929</v>
      </c>
      <c r="H121" s="66"/>
      <c r="I121" s="284">
        <v>737717</v>
      </c>
      <c r="J121" s="486">
        <v>737717</v>
      </c>
      <c r="K121" s="78">
        <f t="shared" si="2"/>
        <v>0</v>
      </c>
    </row>
    <row r="122" spans="1:11" x14ac:dyDescent="0.25">
      <c r="A122" s="48">
        <v>43000</v>
      </c>
      <c r="B122" s="132" t="s">
        <v>984</v>
      </c>
      <c r="C122" s="50">
        <v>823</v>
      </c>
      <c r="D122" s="64">
        <v>1086</v>
      </c>
      <c r="E122" s="292" t="s">
        <v>1015</v>
      </c>
      <c r="F122" s="66"/>
      <c r="G122" s="44" t="s">
        <v>929</v>
      </c>
      <c r="H122" s="66"/>
      <c r="I122" s="284">
        <v>737717</v>
      </c>
      <c r="J122" s="486">
        <v>737717</v>
      </c>
      <c r="K122" s="78">
        <f t="shared" si="2"/>
        <v>0</v>
      </c>
    </row>
    <row r="123" spans="1:11" x14ac:dyDescent="0.25">
      <c r="A123" s="48">
        <v>43000</v>
      </c>
      <c r="B123" s="132" t="s">
        <v>984</v>
      </c>
      <c r="C123" s="50">
        <v>823</v>
      </c>
      <c r="D123" s="64">
        <v>1087</v>
      </c>
      <c r="E123" s="292" t="s">
        <v>1016</v>
      </c>
      <c r="F123" s="66"/>
      <c r="G123" s="44" t="s">
        <v>1038</v>
      </c>
      <c r="H123" s="66"/>
      <c r="I123" s="284">
        <v>737717</v>
      </c>
      <c r="J123" s="486">
        <v>737717</v>
      </c>
      <c r="K123" s="78">
        <f t="shared" si="2"/>
        <v>0</v>
      </c>
    </row>
    <row r="124" spans="1:11" x14ac:dyDescent="0.25">
      <c r="A124" s="48">
        <v>43000</v>
      </c>
      <c r="B124" s="132" t="s">
        <v>984</v>
      </c>
      <c r="C124" s="50">
        <v>823</v>
      </c>
      <c r="D124" s="64">
        <v>1088</v>
      </c>
      <c r="E124" s="292" t="s">
        <v>1017</v>
      </c>
      <c r="F124" s="66"/>
      <c r="G124" s="44" t="s">
        <v>267</v>
      </c>
      <c r="H124" s="66"/>
      <c r="I124" s="284">
        <v>1106575</v>
      </c>
      <c r="J124" s="486">
        <v>1106575</v>
      </c>
      <c r="K124" s="78">
        <f t="shared" si="2"/>
        <v>0</v>
      </c>
    </row>
    <row r="125" spans="1:11" x14ac:dyDescent="0.25">
      <c r="A125" s="48">
        <v>43000</v>
      </c>
      <c r="B125" s="132" t="s">
        <v>984</v>
      </c>
      <c r="C125" s="50">
        <v>823</v>
      </c>
      <c r="D125" s="64">
        <v>1089</v>
      </c>
      <c r="E125" s="292" t="s">
        <v>1018</v>
      </c>
      <c r="F125" s="66"/>
      <c r="G125" s="44" t="s">
        <v>1041</v>
      </c>
      <c r="H125" s="66"/>
      <c r="I125" s="284">
        <v>1106575</v>
      </c>
      <c r="J125" s="486">
        <v>1106575</v>
      </c>
      <c r="K125" s="78">
        <f t="shared" si="2"/>
        <v>0</v>
      </c>
    </row>
    <row r="126" spans="1:11" x14ac:dyDescent="0.25">
      <c r="A126" s="48">
        <v>43000</v>
      </c>
      <c r="B126" s="132" t="s">
        <v>984</v>
      </c>
      <c r="C126" s="50">
        <v>823</v>
      </c>
      <c r="D126" s="64">
        <v>1090</v>
      </c>
      <c r="E126" s="292" t="s">
        <v>1019</v>
      </c>
      <c r="F126" s="66"/>
      <c r="G126" s="44" t="s">
        <v>929</v>
      </c>
      <c r="H126" s="66"/>
      <c r="I126" s="284">
        <v>737717</v>
      </c>
      <c r="J126" s="486">
        <v>737717</v>
      </c>
      <c r="K126" s="78">
        <f t="shared" si="2"/>
        <v>0</v>
      </c>
    </row>
    <row r="127" spans="1:11" x14ac:dyDescent="0.25">
      <c r="A127" s="48">
        <v>43000</v>
      </c>
      <c r="B127" s="132" t="s">
        <v>984</v>
      </c>
      <c r="C127" s="50">
        <v>823</v>
      </c>
      <c r="D127" s="64">
        <v>1091</v>
      </c>
      <c r="E127" s="292" t="s">
        <v>1020</v>
      </c>
      <c r="F127" s="66"/>
      <c r="G127" s="44" t="s">
        <v>929</v>
      </c>
      <c r="H127" s="66"/>
      <c r="I127" s="284">
        <v>737717</v>
      </c>
      <c r="J127" s="486">
        <v>737717</v>
      </c>
      <c r="K127" s="78">
        <f t="shared" si="2"/>
        <v>0</v>
      </c>
    </row>
    <row r="128" spans="1:11" x14ac:dyDescent="0.25">
      <c r="A128" s="48">
        <v>43000</v>
      </c>
      <c r="B128" s="132" t="s">
        <v>984</v>
      </c>
      <c r="C128" s="50">
        <v>823</v>
      </c>
      <c r="D128" s="64">
        <v>1093</v>
      </c>
      <c r="E128" s="292" t="s">
        <v>1021</v>
      </c>
      <c r="F128" s="66"/>
      <c r="G128" s="44" t="s">
        <v>929</v>
      </c>
      <c r="H128" s="66"/>
      <c r="I128" s="284">
        <v>737717</v>
      </c>
      <c r="J128" s="486">
        <v>737717</v>
      </c>
      <c r="K128" s="78">
        <f t="shared" si="2"/>
        <v>0</v>
      </c>
    </row>
    <row r="129" spans="1:11" x14ac:dyDescent="0.25">
      <c r="A129" s="48">
        <v>43000</v>
      </c>
      <c r="B129" s="132" t="s">
        <v>984</v>
      </c>
      <c r="C129" s="50">
        <v>823</v>
      </c>
      <c r="D129" s="64">
        <v>1095</v>
      </c>
      <c r="E129" s="292" t="s">
        <v>1022</v>
      </c>
      <c r="F129" s="66"/>
      <c r="G129" s="44" t="s">
        <v>929</v>
      </c>
      <c r="H129" s="66"/>
      <c r="I129" s="284">
        <v>737717</v>
      </c>
      <c r="J129" s="486">
        <v>737717</v>
      </c>
      <c r="K129" s="78">
        <f t="shared" si="2"/>
        <v>0</v>
      </c>
    </row>
    <row r="130" spans="1:11" x14ac:dyDescent="0.25">
      <c r="A130" s="48">
        <v>43000</v>
      </c>
      <c r="B130" s="132" t="s">
        <v>984</v>
      </c>
      <c r="C130" s="50">
        <v>823</v>
      </c>
      <c r="D130" s="64">
        <v>1096</v>
      </c>
      <c r="E130" s="292" t="s">
        <v>1023</v>
      </c>
      <c r="F130" s="66"/>
      <c r="G130" s="44" t="s">
        <v>1042</v>
      </c>
      <c r="H130" s="66"/>
      <c r="I130" s="284">
        <v>737000</v>
      </c>
      <c r="J130" s="486">
        <v>737000</v>
      </c>
      <c r="K130" s="78">
        <f t="shared" si="2"/>
        <v>0</v>
      </c>
    </row>
    <row r="131" spans="1:11" x14ac:dyDescent="0.25">
      <c r="A131" s="48">
        <v>43000</v>
      </c>
      <c r="B131" s="132" t="s">
        <v>984</v>
      </c>
      <c r="C131" s="50">
        <v>823</v>
      </c>
      <c r="D131" s="64">
        <v>1097</v>
      </c>
      <c r="E131" s="292" t="s">
        <v>1024</v>
      </c>
      <c r="F131" s="66"/>
      <c r="G131" s="44" t="s">
        <v>1043</v>
      </c>
      <c r="H131" s="66"/>
      <c r="I131" s="284">
        <v>1106575</v>
      </c>
      <c r="J131" s="486">
        <v>1106575</v>
      </c>
      <c r="K131" s="78">
        <f t="shared" si="2"/>
        <v>0</v>
      </c>
    </row>
    <row r="132" spans="1:11" x14ac:dyDescent="0.25">
      <c r="A132" s="48">
        <v>43000</v>
      </c>
      <c r="B132" s="132" t="s">
        <v>984</v>
      </c>
      <c r="C132" s="50">
        <v>823</v>
      </c>
      <c r="D132" s="64">
        <v>1098</v>
      </c>
      <c r="E132" s="292" t="s">
        <v>1025</v>
      </c>
      <c r="F132" s="66"/>
      <c r="G132" s="44" t="s">
        <v>1038</v>
      </c>
      <c r="H132" s="66"/>
      <c r="I132" s="284">
        <v>737717</v>
      </c>
      <c r="J132" s="486">
        <v>737717</v>
      </c>
      <c r="K132" s="78">
        <f t="shared" si="2"/>
        <v>0</v>
      </c>
    </row>
    <row r="133" spans="1:11" x14ac:dyDescent="0.25">
      <c r="A133" s="48">
        <v>43000</v>
      </c>
      <c r="B133" s="132" t="s">
        <v>984</v>
      </c>
      <c r="C133" s="50">
        <v>823</v>
      </c>
      <c r="D133" s="64">
        <v>1099</v>
      </c>
      <c r="E133" s="292" t="s">
        <v>1026</v>
      </c>
      <c r="F133" s="66"/>
      <c r="G133" s="44" t="s">
        <v>266</v>
      </c>
      <c r="H133" s="66"/>
      <c r="I133" s="284">
        <v>1106575</v>
      </c>
      <c r="J133" s="486">
        <v>1106575</v>
      </c>
      <c r="K133" s="78">
        <f t="shared" si="2"/>
        <v>0</v>
      </c>
    </row>
    <row r="134" spans="1:11" x14ac:dyDescent="0.25">
      <c r="A134" s="48">
        <v>43000</v>
      </c>
      <c r="B134" s="132" t="s">
        <v>984</v>
      </c>
      <c r="C134" s="50">
        <v>306</v>
      </c>
      <c r="D134" s="64">
        <v>1101</v>
      </c>
      <c r="E134" s="292" t="s">
        <v>1027</v>
      </c>
      <c r="F134" s="66"/>
      <c r="G134" s="44" t="s">
        <v>1044</v>
      </c>
      <c r="H134" s="66"/>
      <c r="I134" s="284">
        <v>83791</v>
      </c>
      <c r="J134" s="486">
        <v>83791</v>
      </c>
      <c r="K134" s="78">
        <f t="shared" si="2"/>
        <v>0</v>
      </c>
    </row>
    <row r="135" spans="1:11" x14ac:dyDescent="0.25">
      <c r="A135" s="48">
        <v>43000</v>
      </c>
      <c r="B135" s="132" t="s">
        <v>984</v>
      </c>
      <c r="C135" s="50">
        <v>823</v>
      </c>
      <c r="D135" s="64">
        <v>1102</v>
      </c>
      <c r="E135" s="292" t="s">
        <v>1027</v>
      </c>
      <c r="F135" s="66"/>
      <c r="G135" s="44" t="s">
        <v>1044</v>
      </c>
      <c r="H135" s="66"/>
      <c r="I135" s="284">
        <v>1022784</v>
      </c>
      <c r="J135" s="486">
        <v>1022784</v>
      </c>
      <c r="K135" s="78">
        <f t="shared" si="2"/>
        <v>0</v>
      </c>
    </row>
    <row r="136" spans="1:11" x14ac:dyDescent="0.25">
      <c r="A136" s="48"/>
      <c r="B136" s="132"/>
      <c r="C136" s="50"/>
      <c r="D136" s="64"/>
      <c r="E136" s="292"/>
      <c r="F136" s="66"/>
      <c r="G136" s="44"/>
      <c r="H136" s="66"/>
      <c r="I136" s="284"/>
      <c r="J136" s="486"/>
      <c r="K136" s="78"/>
    </row>
    <row r="137" spans="1:11" ht="12.75" customHeight="1" x14ac:dyDescent="0.25">
      <c r="A137" s="48"/>
      <c r="B137" s="63"/>
      <c r="C137" s="41"/>
      <c r="D137" s="41"/>
      <c r="E137" s="44"/>
      <c r="F137" s="49"/>
      <c r="G137" s="44"/>
      <c r="H137" s="49"/>
      <c r="I137" s="94"/>
      <c r="J137" s="94"/>
      <c r="K137" s="94"/>
    </row>
    <row r="138" spans="1:11" x14ac:dyDescent="0.25">
      <c r="A138" s="55"/>
      <c r="B138" s="56"/>
      <c r="C138" s="56"/>
      <c r="D138" s="56"/>
      <c r="E138" s="56"/>
      <c r="F138" s="56"/>
      <c r="G138" s="527" t="s">
        <v>132</v>
      </c>
      <c r="H138" s="528"/>
      <c r="I138" s="83">
        <f>SUM(I14:I137)</f>
        <v>533836693</v>
      </c>
      <c r="J138" s="83">
        <f>SUM(J14:J137)</f>
        <v>344291478</v>
      </c>
      <c r="K138" s="83">
        <f>SUM(K23:K137)</f>
        <v>189545215</v>
      </c>
    </row>
    <row r="139" spans="1:11" ht="12.75" customHeight="1" x14ac:dyDescent="0.25">
      <c r="A139" s="3"/>
      <c r="B139" s="3"/>
      <c r="C139" s="3"/>
      <c r="D139" s="3"/>
      <c r="E139" s="3"/>
      <c r="F139" s="3"/>
      <c r="G139" s="3"/>
      <c r="H139" s="3"/>
      <c r="I139" s="22"/>
      <c r="J139" s="93"/>
      <c r="K139" s="56"/>
    </row>
    <row r="140" spans="1:11" ht="24.95" customHeight="1" x14ac:dyDescent="0.25">
      <c r="A140" s="31" t="s">
        <v>58</v>
      </c>
      <c r="B140" s="31" t="s">
        <v>133</v>
      </c>
      <c r="C140" s="31" t="s">
        <v>30</v>
      </c>
      <c r="D140" s="32" t="s">
        <v>59</v>
      </c>
      <c r="E140" s="31" t="s">
        <v>40</v>
      </c>
      <c r="F140" s="31" t="s">
        <v>62</v>
      </c>
      <c r="G140" s="31" t="s">
        <v>37</v>
      </c>
      <c r="H140" s="31" t="s">
        <v>60</v>
      </c>
      <c r="I140" s="31" t="s">
        <v>61</v>
      </c>
      <c r="J140" s="31" t="s">
        <v>99</v>
      </c>
      <c r="K140" s="31" t="s">
        <v>68</v>
      </c>
    </row>
    <row r="141" spans="1:11" ht="24.95" customHeight="1" x14ac:dyDescent="0.25">
      <c r="A141" s="95">
        <v>659200000</v>
      </c>
      <c r="B141" s="95">
        <v>-25500000</v>
      </c>
      <c r="C141" s="95">
        <v>0</v>
      </c>
      <c r="D141" s="82">
        <f>+A141+B141-C141</f>
        <v>633700000</v>
      </c>
      <c r="E141" s="82">
        <f>+I138</f>
        <v>533836693</v>
      </c>
      <c r="F141" s="72">
        <f>+E141/D141</f>
        <v>0.84241232917784437</v>
      </c>
      <c r="G141" s="82">
        <f>+I10</f>
        <v>56000000</v>
      </c>
      <c r="H141" s="82">
        <f>+D141-E141-G141</f>
        <v>43863307</v>
      </c>
      <c r="I141" s="82">
        <f>+J138</f>
        <v>344291478</v>
      </c>
      <c r="J141" s="73">
        <f>+I141/D141</f>
        <v>0.54330357898059023</v>
      </c>
      <c r="K141" s="82">
        <f>+K138</f>
        <v>189545215</v>
      </c>
    </row>
    <row r="142" spans="1:11" x14ac:dyDescent="0.25">
      <c r="A142" s="74">
        <v>1</v>
      </c>
      <c r="B142" s="74">
        <v>2</v>
      </c>
      <c r="C142" s="74">
        <v>3</v>
      </c>
      <c r="D142" s="74" t="s">
        <v>42</v>
      </c>
      <c r="E142" s="74">
        <v>5</v>
      </c>
      <c r="F142" s="74" t="s">
        <v>69</v>
      </c>
      <c r="G142" s="74">
        <v>7</v>
      </c>
      <c r="H142" s="74" t="s">
        <v>70</v>
      </c>
      <c r="I142" s="74">
        <v>9</v>
      </c>
      <c r="J142" s="74" t="s">
        <v>100</v>
      </c>
      <c r="K142" s="74" t="s">
        <v>101</v>
      </c>
    </row>
    <row r="145" spans="10:10" x14ac:dyDescent="0.25">
      <c r="J145" s="238"/>
    </row>
  </sheetData>
  <mergeCells count="15">
    <mergeCell ref="J12:J13"/>
    <mergeCell ref="I12:I13"/>
    <mergeCell ref="A12:A13"/>
    <mergeCell ref="B5:B6"/>
    <mergeCell ref="D5:D6"/>
    <mergeCell ref="I5:I6"/>
    <mergeCell ref="J5:K6"/>
    <mergeCell ref="A5:A6"/>
    <mergeCell ref="G138:H138"/>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B17" sqref="B17"/>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115</v>
      </c>
      <c r="B3" s="84" t="s">
        <v>53</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41"/>
      <c r="B7" s="42"/>
      <c r="C7" s="43"/>
      <c r="D7" s="44"/>
      <c r="E7" s="42"/>
      <c r="F7" s="45"/>
      <c r="G7" s="46"/>
      <c r="H7" s="47"/>
      <c r="I7" s="43"/>
      <c r="J7" s="42"/>
      <c r="K7" s="43"/>
    </row>
    <row r="8" spans="1:11" x14ac:dyDescent="0.25">
      <c r="A8" s="48">
        <v>43009</v>
      </c>
      <c r="B8" s="44" t="s">
        <v>1130</v>
      </c>
      <c r="C8" s="49"/>
      <c r="D8" s="50">
        <v>878</v>
      </c>
      <c r="E8" s="504" t="s">
        <v>1129</v>
      </c>
      <c r="F8" s="37"/>
      <c r="G8" s="51"/>
      <c r="H8" s="52"/>
      <c r="I8" s="75">
        <v>170000000</v>
      </c>
      <c r="J8" s="44"/>
      <c r="K8" s="49"/>
    </row>
    <row r="9" spans="1:11" ht="12.75" customHeight="1" x14ac:dyDescent="0.25">
      <c r="A9" s="48"/>
      <c r="B9" s="53"/>
      <c r="C9" s="54"/>
      <c r="D9" s="44"/>
      <c r="E9" s="44"/>
      <c r="F9" s="37"/>
      <c r="G9" s="51"/>
      <c r="H9" s="52"/>
      <c r="I9" s="76"/>
      <c r="J9" s="44"/>
      <c r="K9" s="49"/>
    </row>
    <row r="10" spans="1:11" x14ac:dyDescent="0.25">
      <c r="A10" s="55"/>
      <c r="B10" s="56"/>
      <c r="C10" s="56"/>
      <c r="D10" s="56"/>
      <c r="E10" s="56"/>
      <c r="F10" s="56"/>
      <c r="G10" s="527" t="s">
        <v>132</v>
      </c>
      <c r="H10" s="528"/>
      <c r="I10" s="77">
        <f>SUM(I8:I9)</f>
        <v>170000000</v>
      </c>
      <c r="J10" s="57"/>
      <c r="K10" s="58"/>
    </row>
    <row r="11" spans="1:11" ht="12.75" customHeight="1" x14ac:dyDescent="0.25">
      <c r="A11" s="3"/>
      <c r="B11" s="3"/>
      <c r="C11" s="3"/>
      <c r="D11" s="3"/>
      <c r="E11" s="3"/>
      <c r="F11" s="3"/>
      <c r="G11" s="3"/>
      <c r="H11" s="3"/>
      <c r="I11" s="22"/>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150"/>
      <c r="B14" s="41"/>
      <c r="C14" s="41"/>
      <c r="D14" s="41"/>
      <c r="E14" s="44"/>
      <c r="F14" s="49"/>
      <c r="G14" s="44"/>
      <c r="H14" s="49"/>
      <c r="I14" s="62"/>
      <c r="J14" s="62"/>
      <c r="K14" s="78">
        <f>+I14-J14</f>
        <v>0</v>
      </c>
    </row>
    <row r="15" spans="1:11" x14ac:dyDescent="0.25">
      <c r="A15" s="48">
        <v>42962</v>
      </c>
      <c r="B15" s="63" t="s">
        <v>741</v>
      </c>
      <c r="C15" s="64">
        <v>776</v>
      </c>
      <c r="D15" s="64">
        <v>894</v>
      </c>
      <c r="E15" s="44" t="s">
        <v>742</v>
      </c>
      <c r="F15" s="66"/>
      <c r="G15" s="65" t="s">
        <v>743</v>
      </c>
      <c r="H15" s="66"/>
      <c r="I15" s="78">
        <v>30000000</v>
      </c>
      <c r="J15" s="78">
        <v>30000000</v>
      </c>
      <c r="K15" s="78">
        <f>+I15-J15</f>
        <v>0</v>
      </c>
    </row>
    <row r="16" spans="1:11" x14ac:dyDescent="0.25">
      <c r="A16" s="48">
        <v>42998</v>
      </c>
      <c r="B16" s="63" t="s">
        <v>741</v>
      </c>
      <c r="C16" s="64">
        <v>824</v>
      </c>
      <c r="D16" s="64">
        <v>1054</v>
      </c>
      <c r="E16" s="44" t="s">
        <v>1045</v>
      </c>
      <c r="F16" s="92"/>
      <c r="G16" s="88" t="s">
        <v>1046</v>
      </c>
      <c r="H16" s="87"/>
      <c r="I16" s="79">
        <v>50000000</v>
      </c>
      <c r="J16" s="79">
        <v>19545884</v>
      </c>
      <c r="K16" s="78">
        <f>+I16-J16</f>
        <v>30454116</v>
      </c>
    </row>
    <row r="17" spans="1:11" x14ac:dyDescent="0.25">
      <c r="A17" s="48">
        <v>43026</v>
      </c>
      <c r="B17" s="63" t="s">
        <v>1127</v>
      </c>
      <c r="C17" s="64">
        <v>839</v>
      </c>
      <c r="D17" s="64">
        <v>1168</v>
      </c>
      <c r="E17" s="33" t="s">
        <v>1128</v>
      </c>
      <c r="F17" s="66"/>
      <c r="G17" t="s">
        <v>1085</v>
      </c>
      <c r="H17" s="66"/>
      <c r="I17" s="67">
        <v>150000000</v>
      </c>
      <c r="J17" s="67">
        <v>5304349</v>
      </c>
      <c r="K17" s="78">
        <f>+I17-J17</f>
        <v>144695651</v>
      </c>
    </row>
    <row r="18" spans="1:11" x14ac:dyDescent="0.25">
      <c r="A18" s="48">
        <v>43047</v>
      </c>
      <c r="B18" s="63" t="s">
        <v>1165</v>
      </c>
      <c r="C18" s="64">
        <v>971</v>
      </c>
      <c r="D18" s="64">
        <v>1278</v>
      </c>
      <c r="E18" s="65" t="s">
        <v>1166</v>
      </c>
      <c r="F18" s="66"/>
      <c r="G18" s="65" t="s">
        <v>1046</v>
      </c>
      <c r="H18" s="66"/>
      <c r="I18" s="67">
        <v>50000000</v>
      </c>
      <c r="J18" s="67">
        <v>0</v>
      </c>
      <c r="K18" s="78">
        <f>+I18-J18</f>
        <v>50000000</v>
      </c>
    </row>
    <row r="19" spans="1:11" ht="12.75" customHeight="1" x14ac:dyDescent="0.25">
      <c r="A19" s="48"/>
      <c r="B19" s="63"/>
      <c r="C19" s="41"/>
      <c r="D19" s="41"/>
      <c r="E19" s="44"/>
      <c r="F19" s="49"/>
      <c r="G19" s="44"/>
      <c r="H19" s="49"/>
      <c r="I19" s="69"/>
      <c r="J19" s="69"/>
      <c r="K19" s="69"/>
    </row>
    <row r="20" spans="1:11" x14ac:dyDescent="0.25">
      <c r="A20" s="55"/>
      <c r="B20" s="56"/>
      <c r="C20" s="56"/>
      <c r="D20" s="56"/>
      <c r="E20" s="56"/>
      <c r="F20" s="56"/>
      <c r="G20" s="527" t="s">
        <v>132</v>
      </c>
      <c r="H20" s="528"/>
      <c r="I20" s="83">
        <f>SUM(I15:I19)</f>
        <v>280000000</v>
      </c>
      <c r="J20" s="83">
        <f>SUM(J15:J19)</f>
        <v>54850233</v>
      </c>
      <c r="K20" s="83">
        <f>SUM(K15:K19)</f>
        <v>225149767</v>
      </c>
    </row>
    <row r="21" spans="1:11" ht="12.75" customHeight="1" x14ac:dyDescent="0.25">
      <c r="A21" s="3"/>
      <c r="B21" s="3"/>
      <c r="C21" s="3"/>
      <c r="D21" s="3"/>
      <c r="E21" s="166"/>
      <c r="F21" s="3"/>
      <c r="G21" s="3"/>
      <c r="H21" s="3"/>
      <c r="I21" s="22"/>
      <c r="J21" s="37"/>
      <c r="K21" s="56"/>
    </row>
    <row r="22" spans="1:11" ht="24.95" customHeight="1" x14ac:dyDescent="0.25">
      <c r="A22" s="31" t="s">
        <v>58</v>
      </c>
      <c r="B22" s="31" t="s">
        <v>133</v>
      </c>
      <c r="C22" s="31" t="s">
        <v>30</v>
      </c>
      <c r="D22" s="32" t="s">
        <v>59</v>
      </c>
      <c r="E22" s="31" t="s">
        <v>40</v>
      </c>
      <c r="F22" s="31" t="s">
        <v>62</v>
      </c>
      <c r="G22" s="31" t="s">
        <v>37</v>
      </c>
      <c r="H22" s="31" t="s">
        <v>60</v>
      </c>
      <c r="I22" s="31" t="s">
        <v>61</v>
      </c>
      <c r="J22" s="31" t="s">
        <v>99</v>
      </c>
      <c r="K22" s="31" t="s">
        <v>68</v>
      </c>
    </row>
    <row r="23" spans="1:11" ht="24.95" customHeight="1" x14ac:dyDescent="0.25">
      <c r="A23" s="95">
        <v>100940000</v>
      </c>
      <c r="B23" s="95">
        <v>350000000</v>
      </c>
      <c r="C23" s="95">
        <v>0</v>
      </c>
      <c r="D23" s="82">
        <f>+A23+B23-C23</f>
        <v>450940000</v>
      </c>
      <c r="E23" s="82">
        <f>+I20</f>
        <v>280000000</v>
      </c>
      <c r="F23" s="72">
        <f>+E23/D23</f>
        <v>0.62092517851598883</v>
      </c>
      <c r="G23" s="82">
        <f>+I10</f>
        <v>170000000</v>
      </c>
      <c r="H23" s="82">
        <f>+D23-E23-G23</f>
        <v>940000</v>
      </c>
      <c r="I23" s="82">
        <f>+J20</f>
        <v>54850233</v>
      </c>
      <c r="J23" s="73">
        <f>+I23/D23</f>
        <v>0.12163532398988779</v>
      </c>
      <c r="K23" s="82">
        <f>+K20</f>
        <v>225149767</v>
      </c>
    </row>
    <row r="24" spans="1:11" x14ac:dyDescent="0.25">
      <c r="A24" s="74">
        <v>1</v>
      </c>
      <c r="B24" s="74">
        <v>2</v>
      </c>
      <c r="C24" s="74">
        <v>3</v>
      </c>
      <c r="D24" s="74" t="s">
        <v>42</v>
      </c>
      <c r="E24" s="74">
        <v>5</v>
      </c>
      <c r="F24" s="74" t="s">
        <v>69</v>
      </c>
      <c r="G24" s="74">
        <v>7</v>
      </c>
      <c r="H24" s="74" t="s">
        <v>70</v>
      </c>
      <c r="I24" s="74">
        <v>9</v>
      </c>
      <c r="J24" s="74" t="s">
        <v>100</v>
      </c>
      <c r="K24" s="74" t="s">
        <v>101</v>
      </c>
    </row>
  </sheetData>
  <mergeCells count="15">
    <mergeCell ref="A5:A6"/>
    <mergeCell ref="B5:B6"/>
    <mergeCell ref="D5:D6"/>
    <mergeCell ref="E5:H5"/>
    <mergeCell ref="G20:H20"/>
    <mergeCell ref="J5:K6"/>
    <mergeCell ref="E6:H6"/>
    <mergeCell ref="G10:H10"/>
    <mergeCell ref="A12:A13"/>
    <mergeCell ref="E12:H12"/>
    <mergeCell ref="I12:I13"/>
    <mergeCell ref="J12:J13"/>
    <mergeCell ref="E13:F13"/>
    <mergeCell ref="G13:H13"/>
    <mergeCell ref="I5:I6"/>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topLeftCell="D1" zoomScaleNormal="100" workbookViewId="0">
      <selection activeCell="O14" sqref="O14"/>
    </sheetView>
  </sheetViews>
  <sheetFormatPr baseColWidth="10" defaultRowHeight="12.75" x14ac:dyDescent="0.2"/>
  <cols>
    <col min="1" max="2" width="15.7109375" style="311" customWidth="1"/>
    <col min="3" max="3" width="14.7109375" style="311" customWidth="1"/>
    <col min="4" max="4" width="15.7109375" style="311" customWidth="1"/>
    <col min="5" max="6" width="15.7109375" style="311" hidden="1" customWidth="1"/>
    <col min="7" max="11" width="15.7109375" style="311" customWidth="1"/>
    <col min="12" max="16384" width="11.42578125" style="311"/>
  </cols>
  <sheetData>
    <row r="1" spans="1:16" ht="12.75" customHeight="1" x14ac:dyDescent="0.25">
      <c r="A1" s="524" t="s">
        <v>837</v>
      </c>
      <c r="B1" s="524"/>
      <c r="C1" s="524"/>
      <c r="D1" s="524"/>
      <c r="E1" s="524"/>
      <c r="F1" s="524"/>
      <c r="G1" s="524"/>
      <c r="H1" s="524"/>
      <c r="I1" s="524"/>
      <c r="J1" s="524"/>
      <c r="K1" s="524"/>
    </row>
    <row r="2" spans="1:16" ht="12.75" customHeight="1" x14ac:dyDescent="0.2">
      <c r="A2" s="192"/>
      <c r="B2" s="192"/>
      <c r="C2" s="192"/>
      <c r="D2" s="192"/>
      <c r="E2" s="192"/>
      <c r="F2" s="192"/>
      <c r="G2" s="192"/>
      <c r="H2" s="192"/>
      <c r="I2" s="192"/>
      <c r="J2" s="192"/>
      <c r="K2" s="312"/>
    </row>
    <row r="3" spans="1:16" ht="15" customHeight="1" x14ac:dyDescent="0.2">
      <c r="A3" s="313" t="s">
        <v>103</v>
      </c>
      <c r="B3" s="313" t="s">
        <v>45</v>
      </c>
      <c r="C3" s="313"/>
      <c r="D3" s="313"/>
      <c r="E3" s="314"/>
      <c r="F3" s="314"/>
      <c r="G3" s="314"/>
      <c r="H3" s="314"/>
      <c r="I3" s="314"/>
      <c r="J3" s="315"/>
      <c r="K3" s="315"/>
    </row>
    <row r="4" spans="1:16" x14ac:dyDescent="0.2">
      <c r="A4" s="508" t="s">
        <v>28</v>
      </c>
      <c r="B4" s="30" t="s">
        <v>38</v>
      </c>
      <c r="C4" s="316" t="s">
        <v>34</v>
      </c>
      <c r="D4" s="30" t="s">
        <v>34</v>
      </c>
      <c r="E4" s="514" t="s">
        <v>40</v>
      </c>
      <c r="F4" s="515"/>
      <c r="G4" s="515"/>
      <c r="H4" s="516"/>
      <c r="I4" s="508" t="s">
        <v>31</v>
      </c>
      <c r="J4" s="508" t="s">
        <v>29</v>
      </c>
      <c r="K4" s="318" t="s">
        <v>56</v>
      </c>
      <c r="L4" s="501"/>
      <c r="M4" s="501"/>
      <c r="N4" s="501"/>
      <c r="O4" s="501"/>
    </row>
    <row r="5" spans="1:16" x14ac:dyDescent="0.2">
      <c r="A5" s="509"/>
      <c r="B5" s="319" t="s">
        <v>39</v>
      </c>
      <c r="C5" s="319" t="s">
        <v>36</v>
      </c>
      <c r="D5" s="319" t="s">
        <v>35</v>
      </c>
      <c r="E5" s="514" t="s">
        <v>33</v>
      </c>
      <c r="F5" s="516"/>
      <c r="G5" s="514" t="s">
        <v>32</v>
      </c>
      <c r="H5" s="516"/>
      <c r="I5" s="509"/>
      <c r="J5" s="509"/>
      <c r="K5" s="487" t="s">
        <v>57</v>
      </c>
      <c r="L5" s="501" t="s">
        <v>840</v>
      </c>
      <c r="M5" s="501" t="s">
        <v>841</v>
      </c>
      <c r="N5" s="501" t="s">
        <v>842</v>
      </c>
      <c r="O5" s="501" t="s">
        <v>966</v>
      </c>
      <c r="P5" s="311" t="s">
        <v>31</v>
      </c>
    </row>
    <row r="6" spans="1:16" x14ac:dyDescent="0.2">
      <c r="A6" s="413">
        <v>42915</v>
      </c>
      <c r="B6" s="263" t="s">
        <v>567</v>
      </c>
      <c r="C6" s="324">
        <v>693</v>
      </c>
      <c r="D6" s="324">
        <v>813</v>
      </c>
      <c r="E6" s="322" t="s">
        <v>568</v>
      </c>
      <c r="F6" s="331"/>
      <c r="G6" s="287" t="s">
        <v>569</v>
      </c>
      <c r="H6" s="393"/>
      <c r="I6" s="329">
        <v>15441302</v>
      </c>
      <c r="J6" s="329"/>
      <c r="K6" s="468">
        <f>+I6-J6</f>
        <v>15441302</v>
      </c>
      <c r="L6" s="501"/>
      <c r="M6" s="501"/>
      <c r="N6" s="501"/>
      <c r="O6" s="501"/>
    </row>
    <row r="7" spans="1:16" x14ac:dyDescent="0.2">
      <c r="A7" s="413">
        <v>42972</v>
      </c>
      <c r="B7" s="263" t="s">
        <v>761</v>
      </c>
      <c r="C7" s="324">
        <v>711</v>
      </c>
      <c r="D7" s="324">
        <v>932</v>
      </c>
      <c r="E7" s="322" t="s">
        <v>762</v>
      </c>
      <c r="F7" s="331"/>
      <c r="G7" s="287" t="s">
        <v>763</v>
      </c>
      <c r="H7" s="393"/>
      <c r="I7" s="437">
        <v>6525000</v>
      </c>
      <c r="J7" s="437"/>
      <c r="K7" s="468">
        <f>+I7-J7</f>
        <v>6525000</v>
      </c>
      <c r="L7" s="501"/>
      <c r="M7" s="501"/>
      <c r="N7" s="501"/>
      <c r="O7" s="501"/>
    </row>
    <row r="8" spans="1:16" x14ac:dyDescent="0.2">
      <c r="A8" s="336"/>
      <c r="B8" s="337"/>
      <c r="C8" s="337"/>
      <c r="D8" s="337"/>
      <c r="E8" s="337"/>
      <c r="F8" s="337"/>
      <c r="G8" s="517" t="s">
        <v>132</v>
      </c>
      <c r="H8" s="518"/>
      <c r="I8" s="450">
        <f>SUM(I6:I7)</f>
        <v>21966302</v>
      </c>
      <c r="J8" s="450">
        <f>SUM(J6:J7)</f>
        <v>0</v>
      </c>
      <c r="K8" s="490">
        <f>SUM(K6:K7)</f>
        <v>21966302</v>
      </c>
      <c r="L8" s="501"/>
      <c r="M8" s="501"/>
      <c r="N8" s="501"/>
      <c r="O8" s="501"/>
    </row>
    <row r="9" spans="1:16" ht="15" customHeight="1" x14ac:dyDescent="0.2">
      <c r="A9" s="313" t="s">
        <v>102</v>
      </c>
      <c r="B9" s="341" t="s">
        <v>46</v>
      </c>
      <c r="C9" s="313"/>
      <c r="D9" s="313"/>
      <c r="E9" s="314"/>
      <c r="F9" s="314"/>
      <c r="G9" s="314"/>
      <c r="H9" s="314"/>
      <c r="I9" s="314"/>
      <c r="J9" s="315"/>
      <c r="K9" s="194"/>
      <c r="L9" s="501"/>
      <c r="M9" s="502"/>
      <c r="N9" s="502"/>
      <c r="O9" s="501"/>
    </row>
    <row r="10" spans="1:16" x14ac:dyDescent="0.2">
      <c r="A10" s="342">
        <v>42877</v>
      </c>
      <c r="B10" s="438" t="s">
        <v>418</v>
      </c>
      <c r="C10" s="344">
        <v>505</v>
      </c>
      <c r="D10" s="344">
        <v>696</v>
      </c>
      <c r="E10" s="325" t="s">
        <v>419</v>
      </c>
      <c r="F10" s="439"/>
      <c r="G10" s="343" t="s">
        <v>356</v>
      </c>
      <c r="H10" s="439"/>
      <c r="I10" s="346">
        <v>401357391</v>
      </c>
      <c r="J10" s="346">
        <v>265987890</v>
      </c>
      <c r="K10" s="491">
        <f t="shared" ref="K10:K21" si="0">+I10-J10</f>
        <v>135369501</v>
      </c>
      <c r="L10" s="501" t="s">
        <v>839</v>
      </c>
      <c r="M10" s="502">
        <v>42880</v>
      </c>
      <c r="N10" s="502">
        <v>43245</v>
      </c>
      <c r="O10" s="501" t="s">
        <v>856</v>
      </c>
    </row>
    <row r="11" spans="1:16" x14ac:dyDescent="0.2">
      <c r="A11" s="348">
        <v>42892</v>
      </c>
      <c r="B11" s="263" t="s">
        <v>517</v>
      </c>
      <c r="C11" s="324">
        <v>657</v>
      </c>
      <c r="D11" s="324">
        <v>727</v>
      </c>
      <c r="E11" s="322" t="s">
        <v>518</v>
      </c>
      <c r="F11" s="393"/>
      <c r="G11" s="322" t="s">
        <v>519</v>
      </c>
      <c r="H11" s="393"/>
      <c r="I11" s="329">
        <v>64863246</v>
      </c>
      <c r="J11" s="329">
        <v>27828</v>
      </c>
      <c r="K11" s="492">
        <f t="shared" si="0"/>
        <v>64835418</v>
      </c>
      <c r="L11" s="501" t="s">
        <v>843</v>
      </c>
      <c r="M11" s="502">
        <v>42897</v>
      </c>
      <c r="N11" s="502">
        <v>43079</v>
      </c>
      <c r="O11" s="501" t="s">
        <v>857</v>
      </c>
    </row>
    <row r="12" spans="1:16" x14ac:dyDescent="0.2">
      <c r="A12" s="348">
        <v>42928</v>
      </c>
      <c r="B12" s="263" t="s">
        <v>631</v>
      </c>
      <c r="C12" s="324">
        <v>713</v>
      </c>
      <c r="D12" s="324">
        <v>827</v>
      </c>
      <c r="E12" s="322" t="s">
        <v>636</v>
      </c>
      <c r="F12" s="393"/>
      <c r="G12" s="322" t="s">
        <v>633</v>
      </c>
      <c r="H12" s="393"/>
      <c r="I12" s="329">
        <v>7140000</v>
      </c>
      <c r="J12" s="329">
        <v>0</v>
      </c>
      <c r="K12" s="468">
        <f t="shared" si="0"/>
        <v>7140000</v>
      </c>
      <c r="L12" s="501"/>
      <c r="M12" s="502"/>
      <c r="N12" s="502"/>
      <c r="O12" s="501"/>
    </row>
    <row r="13" spans="1:16" x14ac:dyDescent="0.2">
      <c r="A13" s="348">
        <v>42929</v>
      </c>
      <c r="B13" s="263" t="s">
        <v>632</v>
      </c>
      <c r="C13" s="324">
        <v>569</v>
      </c>
      <c r="D13" s="324">
        <v>832</v>
      </c>
      <c r="E13" s="322" t="s">
        <v>635</v>
      </c>
      <c r="F13" s="393"/>
      <c r="G13" s="322" t="s">
        <v>634</v>
      </c>
      <c r="H13" s="393"/>
      <c r="I13" s="329">
        <v>445855047</v>
      </c>
      <c r="J13" s="329">
        <v>0</v>
      </c>
      <c r="K13" s="492">
        <f t="shared" si="0"/>
        <v>445855047</v>
      </c>
      <c r="L13" s="501" t="s">
        <v>843</v>
      </c>
      <c r="M13" s="502">
        <v>42940</v>
      </c>
      <c r="N13" s="502">
        <v>43124</v>
      </c>
      <c r="O13" s="501" t="s">
        <v>967</v>
      </c>
    </row>
    <row r="14" spans="1:16" x14ac:dyDescent="0.2">
      <c r="A14" s="348">
        <v>42941</v>
      </c>
      <c r="B14" s="263" t="s">
        <v>679</v>
      </c>
      <c r="C14" s="324">
        <v>729</v>
      </c>
      <c r="D14" s="324">
        <v>862</v>
      </c>
      <c r="E14" s="452" t="s">
        <v>680</v>
      </c>
      <c r="F14" s="393"/>
      <c r="G14" s="322" t="s">
        <v>681</v>
      </c>
      <c r="H14" s="393"/>
      <c r="I14" s="329">
        <v>70310165</v>
      </c>
      <c r="J14" s="329">
        <v>0</v>
      </c>
      <c r="K14" s="492">
        <f t="shared" si="0"/>
        <v>70310165</v>
      </c>
      <c r="L14" s="501" t="s">
        <v>839</v>
      </c>
      <c r="M14" s="502">
        <v>42963</v>
      </c>
      <c r="N14" s="502">
        <v>43327</v>
      </c>
      <c r="O14" s="501" t="s">
        <v>967</v>
      </c>
    </row>
    <row r="15" spans="1:16" x14ac:dyDescent="0.2">
      <c r="A15" s="348">
        <v>42947</v>
      </c>
      <c r="B15" s="263" t="s">
        <v>693</v>
      </c>
      <c r="C15" s="324">
        <v>730</v>
      </c>
      <c r="D15" s="324">
        <v>866</v>
      </c>
      <c r="E15" s="322" t="s">
        <v>694</v>
      </c>
      <c r="F15" s="393"/>
      <c r="G15" s="322" t="s">
        <v>695</v>
      </c>
      <c r="H15" s="393"/>
      <c r="I15" s="329">
        <v>22068600</v>
      </c>
      <c r="J15" s="329">
        <v>0</v>
      </c>
      <c r="K15" s="468">
        <f t="shared" si="0"/>
        <v>22068600</v>
      </c>
      <c r="L15" s="501"/>
      <c r="M15" s="502"/>
      <c r="N15" s="502"/>
      <c r="O15" s="501"/>
    </row>
    <row r="16" spans="1:16" x14ac:dyDescent="0.2">
      <c r="A16" s="348">
        <v>42950</v>
      </c>
      <c r="B16" s="263" t="s">
        <v>696</v>
      </c>
      <c r="C16" s="324">
        <v>738</v>
      </c>
      <c r="D16" s="324">
        <v>876</v>
      </c>
      <c r="E16" s="349" t="s">
        <v>700</v>
      </c>
      <c r="F16" s="393"/>
      <c r="G16" s="322" t="s">
        <v>702</v>
      </c>
      <c r="H16" s="393"/>
      <c r="I16" s="329">
        <v>69697887</v>
      </c>
      <c r="J16" s="329">
        <v>0</v>
      </c>
      <c r="K16" s="492">
        <f t="shared" si="0"/>
        <v>69697887</v>
      </c>
      <c r="L16" s="501" t="s">
        <v>844</v>
      </c>
      <c r="M16" s="502">
        <v>42950</v>
      </c>
      <c r="N16" s="502">
        <v>42980</v>
      </c>
      <c r="O16" s="501"/>
    </row>
    <row r="17" spans="1:15" x14ac:dyDescent="0.2">
      <c r="A17" s="348">
        <v>42963</v>
      </c>
      <c r="B17" s="263" t="s">
        <v>697</v>
      </c>
      <c r="C17" s="324">
        <v>712</v>
      </c>
      <c r="D17" s="324">
        <v>896</v>
      </c>
      <c r="E17" s="322" t="s">
        <v>571</v>
      </c>
      <c r="F17" s="393"/>
      <c r="G17" s="322" t="s">
        <v>703</v>
      </c>
      <c r="H17" s="393"/>
      <c r="I17" s="329">
        <v>330935430</v>
      </c>
      <c r="J17" s="329">
        <v>0</v>
      </c>
      <c r="K17" s="492">
        <f t="shared" si="0"/>
        <v>330935430</v>
      </c>
      <c r="L17" s="501" t="s">
        <v>845</v>
      </c>
      <c r="M17" s="502">
        <v>42966</v>
      </c>
      <c r="N17" s="502">
        <v>43177</v>
      </c>
      <c r="O17" s="501"/>
    </row>
    <row r="18" spans="1:15" x14ac:dyDescent="0.2">
      <c r="A18" s="348">
        <v>42964</v>
      </c>
      <c r="B18" s="263" t="s">
        <v>698</v>
      </c>
      <c r="C18" s="324">
        <v>753</v>
      </c>
      <c r="D18" s="324">
        <v>898</v>
      </c>
      <c r="E18" s="322" t="s">
        <v>701</v>
      </c>
      <c r="F18" s="393"/>
      <c r="G18" s="322" t="s">
        <v>704</v>
      </c>
      <c r="H18" s="393"/>
      <c r="I18" s="329">
        <v>39581876</v>
      </c>
      <c r="J18" s="329">
        <v>0</v>
      </c>
      <c r="K18" s="468">
        <f t="shared" si="0"/>
        <v>39581876</v>
      </c>
      <c r="L18" s="501"/>
      <c r="M18" s="502"/>
      <c r="N18" s="502"/>
      <c r="O18" s="501"/>
    </row>
    <row r="19" spans="1:15" x14ac:dyDescent="0.2">
      <c r="A19" s="348">
        <v>42965</v>
      </c>
      <c r="B19" s="263" t="s">
        <v>846</v>
      </c>
      <c r="C19" s="324">
        <v>714</v>
      </c>
      <c r="D19" s="324">
        <v>908</v>
      </c>
      <c r="E19" s="322" t="s">
        <v>699</v>
      </c>
      <c r="F19" s="393"/>
      <c r="G19" s="322" t="s">
        <v>705</v>
      </c>
      <c r="H19" s="393"/>
      <c r="I19" s="329">
        <v>316111550</v>
      </c>
      <c r="J19" s="329">
        <v>0</v>
      </c>
      <c r="K19" s="492">
        <f t="shared" si="0"/>
        <v>316111550</v>
      </c>
      <c r="L19" s="501" t="s">
        <v>847</v>
      </c>
      <c r="M19" s="502">
        <v>42986</v>
      </c>
      <c r="N19" s="502">
        <v>43108</v>
      </c>
      <c r="O19" s="501"/>
    </row>
    <row r="20" spans="1:15" x14ac:dyDescent="0.2">
      <c r="A20" s="348">
        <v>42978</v>
      </c>
      <c r="B20" s="263" t="s">
        <v>800</v>
      </c>
      <c r="C20" s="324">
        <v>740</v>
      </c>
      <c r="D20" s="324">
        <v>942</v>
      </c>
      <c r="E20" s="322" t="s">
        <v>802</v>
      </c>
      <c r="F20" s="393"/>
      <c r="G20" s="322" t="s">
        <v>803</v>
      </c>
      <c r="H20" s="393"/>
      <c r="I20" s="329">
        <v>18555075</v>
      </c>
      <c r="J20" s="329"/>
      <c r="K20" s="468">
        <f t="shared" si="0"/>
        <v>18555075</v>
      </c>
      <c r="L20" s="501"/>
      <c r="M20" s="502"/>
      <c r="N20" s="502"/>
      <c r="O20" s="501"/>
    </row>
    <row r="21" spans="1:15" x14ac:dyDescent="0.2">
      <c r="A21" s="348">
        <v>42978</v>
      </c>
      <c r="B21" s="263" t="s">
        <v>801</v>
      </c>
      <c r="C21" s="324">
        <v>740</v>
      </c>
      <c r="D21" s="324">
        <v>943</v>
      </c>
      <c r="E21" s="322" t="s">
        <v>802</v>
      </c>
      <c r="F21" s="393"/>
      <c r="G21" s="322" t="s">
        <v>804</v>
      </c>
      <c r="H21" s="393"/>
      <c r="I21" s="329">
        <v>8793174</v>
      </c>
      <c r="J21" s="329"/>
      <c r="K21" s="468">
        <f t="shared" si="0"/>
        <v>8793174</v>
      </c>
      <c r="L21" s="501"/>
      <c r="M21" s="502"/>
      <c r="N21" s="502"/>
      <c r="O21" s="501"/>
    </row>
    <row r="22" spans="1:15" x14ac:dyDescent="0.2">
      <c r="A22" s="336"/>
      <c r="B22" s="337"/>
      <c r="C22" s="337"/>
      <c r="D22" s="337"/>
      <c r="E22" s="337"/>
      <c r="F22" s="337"/>
      <c r="G22" s="517" t="s">
        <v>132</v>
      </c>
      <c r="H22" s="518"/>
      <c r="I22" s="450">
        <f>SUM(I10:I21)</f>
        <v>1795269441</v>
      </c>
      <c r="J22" s="450">
        <f>SUM(J10:J21)</f>
        <v>266015718</v>
      </c>
      <c r="K22" s="490">
        <f>SUM(K10:K21)</f>
        <v>1529253723</v>
      </c>
      <c r="L22" s="501"/>
      <c r="M22" s="502"/>
      <c r="N22" s="502"/>
      <c r="O22" s="501"/>
    </row>
    <row r="23" spans="1:15" ht="15" customHeight="1" x14ac:dyDescent="0.2">
      <c r="A23" s="313" t="s">
        <v>106</v>
      </c>
      <c r="B23" s="341" t="s">
        <v>126</v>
      </c>
      <c r="C23" s="313"/>
      <c r="D23" s="313"/>
      <c r="E23" s="314"/>
      <c r="F23" s="314"/>
      <c r="G23" s="314"/>
      <c r="H23" s="314"/>
      <c r="I23" s="314"/>
      <c r="J23" s="315"/>
      <c r="K23" s="194"/>
      <c r="L23" s="501"/>
      <c r="M23" s="502"/>
      <c r="N23" s="502"/>
      <c r="O23" s="501"/>
    </row>
    <row r="24" spans="1:15" x14ac:dyDescent="0.2">
      <c r="A24" s="411">
        <v>42809</v>
      </c>
      <c r="B24" s="453" t="s">
        <v>281</v>
      </c>
      <c r="C24" s="454">
        <v>241</v>
      </c>
      <c r="D24" s="455">
        <v>414</v>
      </c>
      <c r="E24" s="325" t="s">
        <v>194</v>
      </c>
      <c r="F24" s="456"/>
      <c r="G24" s="457" t="s">
        <v>277</v>
      </c>
      <c r="H24" s="456"/>
      <c r="I24" s="346">
        <v>214546296</v>
      </c>
      <c r="J24" s="434">
        <v>53706835</v>
      </c>
      <c r="K24" s="491">
        <f>+I24-J24</f>
        <v>160839461</v>
      </c>
      <c r="L24" s="501" t="s">
        <v>848</v>
      </c>
      <c r="M24" s="502">
        <v>42809</v>
      </c>
      <c r="N24" s="502">
        <v>42781</v>
      </c>
      <c r="O24" s="501" t="s">
        <v>858</v>
      </c>
    </row>
    <row r="25" spans="1:15" x14ac:dyDescent="0.2">
      <c r="A25" s="336"/>
      <c r="B25" s="337"/>
      <c r="C25" s="337"/>
      <c r="D25" s="337"/>
      <c r="E25" s="337"/>
      <c r="F25" s="337"/>
      <c r="G25" s="517" t="s">
        <v>132</v>
      </c>
      <c r="H25" s="518"/>
      <c r="I25" s="450">
        <f>SUM(I24:I24)</f>
        <v>214546296</v>
      </c>
      <c r="J25" s="458">
        <f>SUM(J24:J24)</f>
        <v>53706835</v>
      </c>
      <c r="K25" s="493">
        <f>SUM(K24:K24)</f>
        <v>160839461</v>
      </c>
      <c r="L25" s="501"/>
      <c r="M25" s="502"/>
      <c r="N25" s="502"/>
      <c r="O25" s="501"/>
    </row>
    <row r="26" spans="1:15" ht="15" customHeight="1" x14ac:dyDescent="0.2">
      <c r="A26" s="313" t="s">
        <v>134</v>
      </c>
      <c r="B26" s="341" t="s">
        <v>135</v>
      </c>
      <c r="C26" s="313"/>
      <c r="D26" s="313"/>
      <c r="E26" s="314"/>
      <c r="F26" s="314"/>
      <c r="G26" s="314"/>
      <c r="H26" s="314"/>
      <c r="I26" s="314"/>
      <c r="J26" s="315"/>
      <c r="K26" s="194"/>
      <c r="L26" s="501"/>
      <c r="M26" s="502"/>
      <c r="N26" s="502"/>
      <c r="O26" s="501"/>
    </row>
    <row r="27" spans="1:15" ht="12.75" customHeight="1" x14ac:dyDescent="0.2">
      <c r="A27" s="342">
        <v>42741</v>
      </c>
      <c r="B27" s="459" t="s">
        <v>169</v>
      </c>
      <c r="C27" s="344">
        <v>20</v>
      </c>
      <c r="D27" s="355">
        <v>10</v>
      </c>
      <c r="E27" s="325" t="s">
        <v>170</v>
      </c>
      <c r="F27" s="323"/>
      <c r="G27" s="325" t="s">
        <v>171</v>
      </c>
      <c r="H27" s="323"/>
      <c r="I27" s="460">
        <v>25429902</v>
      </c>
      <c r="J27" s="460">
        <v>24931277</v>
      </c>
      <c r="K27" s="494">
        <f>+I27-J27</f>
        <v>498625</v>
      </c>
      <c r="L27" s="501"/>
      <c r="M27" s="502"/>
      <c r="N27" s="502"/>
      <c r="O27" s="501"/>
    </row>
    <row r="28" spans="1:15" x14ac:dyDescent="0.2">
      <c r="A28" s="348">
        <v>42916</v>
      </c>
      <c r="B28" s="263" t="s">
        <v>169</v>
      </c>
      <c r="C28" s="324">
        <v>723</v>
      </c>
      <c r="D28" s="387">
        <v>814</v>
      </c>
      <c r="E28" s="322" t="s">
        <v>574</v>
      </c>
      <c r="F28" s="393"/>
      <c r="G28" s="287" t="s">
        <v>171</v>
      </c>
      <c r="H28" s="393"/>
      <c r="I28" s="461">
        <v>6624597</v>
      </c>
      <c r="J28" s="461">
        <v>0</v>
      </c>
      <c r="K28" s="388">
        <f>+I28-J28</f>
        <v>6624597</v>
      </c>
      <c r="L28" s="501"/>
      <c r="M28" s="502"/>
      <c r="N28" s="502"/>
      <c r="O28" s="501"/>
    </row>
    <row r="29" spans="1:15" x14ac:dyDescent="0.2">
      <c r="A29" s="336"/>
      <c r="B29" s="337"/>
      <c r="C29" s="337"/>
      <c r="D29" s="337"/>
      <c r="E29" s="337"/>
      <c r="F29" s="337"/>
      <c r="G29" s="517" t="s">
        <v>132</v>
      </c>
      <c r="H29" s="518"/>
      <c r="I29" s="458">
        <f>SUM(I27:I28)</f>
        <v>32054499</v>
      </c>
      <c r="J29" s="458">
        <f>SUM(J27:J28)</f>
        <v>24931277</v>
      </c>
      <c r="K29" s="493">
        <f>SUM(K27:K28)</f>
        <v>7123222</v>
      </c>
      <c r="L29" s="501"/>
      <c r="M29" s="502"/>
      <c r="N29" s="502"/>
      <c r="O29" s="501"/>
    </row>
    <row r="30" spans="1:15" ht="15" customHeight="1" x14ac:dyDescent="0.2">
      <c r="A30" s="313" t="s">
        <v>105</v>
      </c>
      <c r="B30" s="341" t="s">
        <v>47</v>
      </c>
      <c r="C30" s="313"/>
      <c r="D30" s="313"/>
      <c r="E30" s="314"/>
      <c r="F30" s="314"/>
      <c r="G30" s="314"/>
      <c r="H30" s="314"/>
      <c r="I30" s="314"/>
      <c r="J30" s="372"/>
      <c r="K30" s="194"/>
      <c r="L30" s="501"/>
      <c r="M30" s="502"/>
      <c r="N30" s="502"/>
      <c r="O30" s="501"/>
    </row>
    <row r="31" spans="1:15" ht="15" customHeight="1" x14ac:dyDescent="0.2">
      <c r="A31" s="411">
        <v>42751</v>
      </c>
      <c r="B31" s="451" t="s">
        <v>173</v>
      </c>
      <c r="C31" s="398">
        <v>15</v>
      </c>
      <c r="D31" s="398">
        <v>50</v>
      </c>
      <c r="E31" s="354" t="s">
        <v>172</v>
      </c>
      <c r="F31" s="354"/>
      <c r="G31" s="457" t="s">
        <v>174</v>
      </c>
      <c r="H31" s="456"/>
      <c r="I31" s="434">
        <v>115000000</v>
      </c>
      <c r="J31" s="434">
        <v>107363681</v>
      </c>
      <c r="K31" s="495">
        <f>+I31-J31</f>
        <v>7636319</v>
      </c>
      <c r="L31" s="501"/>
      <c r="M31" s="502"/>
      <c r="N31" s="502"/>
      <c r="O31" s="501"/>
    </row>
    <row r="32" spans="1:15" x14ac:dyDescent="0.2">
      <c r="A32" s="413">
        <v>42825</v>
      </c>
      <c r="B32" s="263" t="s">
        <v>312</v>
      </c>
      <c r="C32" s="405">
        <v>434</v>
      </c>
      <c r="D32" s="405">
        <v>483</v>
      </c>
      <c r="E32" s="406" t="s">
        <v>314</v>
      </c>
      <c r="F32" s="407"/>
      <c r="G32" s="462" t="s">
        <v>317</v>
      </c>
      <c r="H32" s="393"/>
      <c r="I32" s="335">
        <v>225000000</v>
      </c>
      <c r="J32" s="335">
        <v>85568333</v>
      </c>
      <c r="K32" s="492">
        <f>+I32-J32</f>
        <v>139431667</v>
      </c>
      <c r="L32" s="501" t="s">
        <v>849</v>
      </c>
      <c r="M32" s="502">
        <v>42826</v>
      </c>
      <c r="N32" s="502">
        <v>42916</v>
      </c>
      <c r="O32" s="501" t="s">
        <v>859</v>
      </c>
    </row>
    <row r="33" spans="1:15" x14ac:dyDescent="0.2">
      <c r="A33" s="413">
        <v>42853</v>
      </c>
      <c r="B33" s="263" t="s">
        <v>370</v>
      </c>
      <c r="C33" s="405">
        <v>555</v>
      </c>
      <c r="D33" s="405">
        <v>596</v>
      </c>
      <c r="E33" s="332" t="s">
        <v>371</v>
      </c>
      <c r="F33" s="407"/>
      <c r="G33" s="462" t="s">
        <v>174</v>
      </c>
      <c r="H33" s="393"/>
      <c r="I33" s="437">
        <v>434653232</v>
      </c>
      <c r="J33" s="437">
        <v>129717229</v>
      </c>
      <c r="K33" s="492">
        <f>+I33-J33</f>
        <v>304936003</v>
      </c>
      <c r="L33" s="501" t="s">
        <v>850</v>
      </c>
      <c r="M33" s="502">
        <v>42857</v>
      </c>
      <c r="N33" s="502">
        <v>43102</v>
      </c>
      <c r="O33" s="501" t="s">
        <v>860</v>
      </c>
    </row>
    <row r="34" spans="1:15" x14ac:dyDescent="0.2">
      <c r="A34" s="413">
        <v>42958</v>
      </c>
      <c r="B34" s="263" t="s">
        <v>712</v>
      </c>
      <c r="C34" s="405">
        <v>731</v>
      </c>
      <c r="D34" s="405">
        <v>888</v>
      </c>
      <c r="E34" s="332" t="s">
        <v>714</v>
      </c>
      <c r="F34" s="407"/>
      <c r="G34" s="462" t="s">
        <v>317</v>
      </c>
      <c r="H34" s="393"/>
      <c r="I34" s="437">
        <v>150000000</v>
      </c>
      <c r="J34" s="437">
        <v>0</v>
      </c>
      <c r="K34" s="492">
        <f>+I34-J34</f>
        <v>150000000</v>
      </c>
      <c r="L34" s="501" t="s">
        <v>851</v>
      </c>
      <c r="M34" s="502">
        <v>42963</v>
      </c>
      <c r="N34" s="502">
        <v>43099</v>
      </c>
      <c r="O34" s="501"/>
    </row>
    <row r="35" spans="1:15" x14ac:dyDescent="0.2">
      <c r="A35" s="413">
        <v>42984</v>
      </c>
      <c r="B35" s="263" t="s">
        <v>808</v>
      </c>
      <c r="C35" s="405">
        <v>38</v>
      </c>
      <c r="D35" s="405">
        <v>958</v>
      </c>
      <c r="E35" s="332" t="s">
        <v>809</v>
      </c>
      <c r="F35" s="407"/>
      <c r="G35" s="462" t="s">
        <v>318</v>
      </c>
      <c r="H35" s="393"/>
      <c r="I35" s="437">
        <v>102600</v>
      </c>
      <c r="J35" s="437">
        <v>0</v>
      </c>
      <c r="K35" s="468">
        <f>+I35-J35</f>
        <v>102600</v>
      </c>
      <c r="L35" s="501"/>
      <c r="M35" s="501"/>
      <c r="N35" s="501"/>
      <c r="O35" s="501"/>
    </row>
    <row r="36" spans="1:15" ht="12.75" customHeight="1" x14ac:dyDescent="0.2">
      <c r="A36" s="336"/>
      <c r="B36" s="337"/>
      <c r="C36" s="337"/>
      <c r="D36" s="337"/>
      <c r="E36" s="337"/>
      <c r="F36" s="337"/>
      <c r="G36" s="517" t="s">
        <v>132</v>
      </c>
      <c r="H36" s="518"/>
      <c r="I36" s="450">
        <f>SUM(I31:I35)</f>
        <v>924755832</v>
      </c>
      <c r="J36" s="450">
        <f>SUM(J31:J35)</f>
        <v>322649243</v>
      </c>
      <c r="K36" s="490">
        <f>SUM(K31:K35)</f>
        <v>602106589</v>
      </c>
      <c r="L36" s="501"/>
      <c r="M36" s="501"/>
      <c r="N36" s="501"/>
      <c r="O36" s="501"/>
    </row>
    <row r="37" spans="1:15" ht="15" customHeight="1" x14ac:dyDescent="0.2">
      <c r="A37" s="313" t="s">
        <v>107</v>
      </c>
      <c r="B37" s="341" t="s">
        <v>48</v>
      </c>
      <c r="C37" s="313"/>
      <c r="D37" s="313"/>
      <c r="E37" s="314"/>
      <c r="F37" s="314"/>
      <c r="G37" s="314"/>
      <c r="H37" s="314"/>
      <c r="I37" s="314"/>
      <c r="J37" s="315"/>
      <c r="K37" s="194"/>
      <c r="L37" s="501"/>
      <c r="M37" s="501"/>
      <c r="N37" s="501"/>
      <c r="O37" s="501"/>
    </row>
    <row r="38" spans="1:15" x14ac:dyDescent="0.2">
      <c r="A38" s="411">
        <v>42907</v>
      </c>
      <c r="B38" s="451" t="s">
        <v>548</v>
      </c>
      <c r="C38" s="398">
        <v>703</v>
      </c>
      <c r="D38" s="398">
        <v>782</v>
      </c>
      <c r="E38" s="396" t="s">
        <v>549</v>
      </c>
      <c r="F38" s="354"/>
      <c r="G38" s="457" t="s">
        <v>550</v>
      </c>
      <c r="H38" s="456"/>
      <c r="I38" s="346">
        <v>15000000</v>
      </c>
      <c r="J38" s="346">
        <v>8625528</v>
      </c>
      <c r="K38" s="495">
        <f>+I38-J38</f>
        <v>6374472</v>
      </c>
      <c r="L38" s="501"/>
      <c r="M38" s="501"/>
      <c r="N38" s="501"/>
      <c r="O38" s="501"/>
    </row>
    <row r="39" spans="1:15" x14ac:dyDescent="0.2">
      <c r="A39" s="413">
        <v>42964</v>
      </c>
      <c r="B39" s="263" t="s">
        <v>716</v>
      </c>
      <c r="C39" s="405">
        <v>757</v>
      </c>
      <c r="D39" s="405">
        <v>900</v>
      </c>
      <c r="E39" s="403" t="s">
        <v>717</v>
      </c>
      <c r="F39" s="406"/>
      <c r="G39" s="287" t="s">
        <v>718</v>
      </c>
      <c r="H39" s="393"/>
      <c r="I39" s="335">
        <v>3000000</v>
      </c>
      <c r="J39" s="335">
        <v>0</v>
      </c>
      <c r="K39" s="468">
        <f>+I39-J39</f>
        <v>3000000</v>
      </c>
      <c r="L39" s="501"/>
      <c r="M39" s="501"/>
      <c r="N39" s="501"/>
      <c r="O39" s="501"/>
    </row>
    <row r="40" spans="1:15" x14ac:dyDescent="0.2">
      <c r="A40" s="336"/>
      <c r="B40" s="337"/>
      <c r="C40" s="337"/>
      <c r="D40" s="337"/>
      <c r="E40" s="337"/>
      <c r="F40" s="337"/>
      <c r="G40" s="517" t="s">
        <v>132</v>
      </c>
      <c r="H40" s="518"/>
      <c r="I40" s="450">
        <f>SUM(I38:I39)</f>
        <v>18000000</v>
      </c>
      <c r="J40" s="450">
        <f>SUM(J38:J39)</f>
        <v>8625528</v>
      </c>
      <c r="K40" s="490">
        <f>SUM(K38:K39)</f>
        <v>9374472</v>
      </c>
      <c r="L40" s="501"/>
      <c r="M40" s="501"/>
      <c r="N40" s="501"/>
      <c r="O40" s="501"/>
    </row>
    <row r="41" spans="1:15" ht="15" customHeight="1" x14ac:dyDescent="0.2">
      <c r="A41" s="313" t="s">
        <v>108</v>
      </c>
      <c r="B41" s="341" t="s">
        <v>49</v>
      </c>
      <c r="C41" s="313"/>
      <c r="D41" s="313"/>
      <c r="E41" s="314"/>
      <c r="F41" s="314"/>
      <c r="G41" s="314"/>
      <c r="H41" s="314"/>
      <c r="I41" s="314"/>
      <c r="J41" s="315"/>
      <c r="K41" s="194"/>
      <c r="L41" s="501"/>
      <c r="M41" s="501"/>
      <c r="N41" s="501"/>
      <c r="O41" s="501"/>
    </row>
    <row r="42" spans="1:15" ht="15" customHeight="1" x14ac:dyDescent="0.2">
      <c r="A42" s="411">
        <v>42809</v>
      </c>
      <c r="B42" s="451" t="s">
        <v>281</v>
      </c>
      <c r="C42" s="398">
        <v>241</v>
      </c>
      <c r="D42" s="398">
        <v>414</v>
      </c>
      <c r="E42" s="325" t="s">
        <v>194</v>
      </c>
      <c r="F42" s="456"/>
      <c r="G42" s="457" t="s">
        <v>277</v>
      </c>
      <c r="H42" s="456"/>
      <c r="I42" s="346">
        <v>636080214</v>
      </c>
      <c r="J42" s="346">
        <v>258419409</v>
      </c>
      <c r="K42" s="491">
        <f t="shared" ref="K42:K48" si="1">+I42-J42</f>
        <v>377660805</v>
      </c>
      <c r="L42" s="501" t="s">
        <v>848</v>
      </c>
      <c r="M42" s="502">
        <v>42809</v>
      </c>
      <c r="N42" s="502">
        <v>43146</v>
      </c>
      <c r="O42" s="501" t="s">
        <v>861</v>
      </c>
    </row>
    <row r="43" spans="1:15" ht="15" customHeight="1" x14ac:dyDescent="0.2">
      <c r="A43" s="413">
        <v>42837</v>
      </c>
      <c r="B43" s="263" t="s">
        <v>319</v>
      </c>
      <c r="C43" s="464">
        <v>332</v>
      </c>
      <c r="D43" s="465">
        <v>533</v>
      </c>
      <c r="E43" s="322" t="s">
        <v>320</v>
      </c>
      <c r="F43" s="393"/>
      <c r="G43" s="287" t="s">
        <v>321</v>
      </c>
      <c r="H43" s="466"/>
      <c r="I43" s="463">
        <v>992375400</v>
      </c>
      <c r="J43" s="463">
        <v>405691488</v>
      </c>
      <c r="K43" s="492">
        <f t="shared" si="1"/>
        <v>586683912</v>
      </c>
      <c r="L43" s="501" t="s">
        <v>852</v>
      </c>
      <c r="M43" s="502">
        <v>42841</v>
      </c>
      <c r="N43" s="502">
        <v>43099</v>
      </c>
      <c r="O43" s="501" t="s">
        <v>862</v>
      </c>
    </row>
    <row r="44" spans="1:15" ht="15" customHeight="1" x14ac:dyDescent="0.2">
      <c r="A44" s="413">
        <v>42892</v>
      </c>
      <c r="B44" s="287" t="s">
        <v>520</v>
      </c>
      <c r="C44" s="467">
        <v>502</v>
      </c>
      <c r="D44" s="467">
        <v>729</v>
      </c>
      <c r="E44" s="322" t="s">
        <v>523</v>
      </c>
      <c r="F44" s="466"/>
      <c r="G44" s="287" t="s">
        <v>524</v>
      </c>
      <c r="H44" s="466"/>
      <c r="I44" s="463">
        <v>6946030</v>
      </c>
      <c r="J44" s="329">
        <v>0</v>
      </c>
      <c r="K44" s="468">
        <f t="shared" si="1"/>
        <v>6946030</v>
      </c>
      <c r="L44" s="501"/>
      <c r="M44" s="501"/>
      <c r="N44" s="501"/>
      <c r="O44" s="501"/>
    </row>
    <row r="45" spans="1:15" ht="15" customHeight="1" x14ac:dyDescent="0.2">
      <c r="A45" s="413">
        <v>42895</v>
      </c>
      <c r="B45" s="287" t="s">
        <v>521</v>
      </c>
      <c r="C45" s="467">
        <v>678</v>
      </c>
      <c r="D45" s="467">
        <v>739</v>
      </c>
      <c r="E45" s="322" t="s">
        <v>522</v>
      </c>
      <c r="F45" s="466"/>
      <c r="G45" s="287" t="s">
        <v>525</v>
      </c>
      <c r="H45" s="466"/>
      <c r="I45" s="463">
        <v>60000000</v>
      </c>
      <c r="J45" s="468">
        <v>11101097</v>
      </c>
      <c r="K45" s="492">
        <f t="shared" si="1"/>
        <v>48898903</v>
      </c>
      <c r="L45" s="501" t="s">
        <v>853</v>
      </c>
      <c r="M45" s="502">
        <v>42898</v>
      </c>
      <c r="N45" s="502">
        <v>43099</v>
      </c>
      <c r="O45" s="501" t="s">
        <v>863</v>
      </c>
    </row>
    <row r="46" spans="1:15" ht="15" customHeight="1" x14ac:dyDescent="0.2">
      <c r="A46" s="413">
        <v>42915</v>
      </c>
      <c r="B46" s="287" t="s">
        <v>551</v>
      </c>
      <c r="C46" s="467">
        <v>467</v>
      </c>
      <c r="D46" s="467">
        <v>807</v>
      </c>
      <c r="E46" s="322" t="s">
        <v>282</v>
      </c>
      <c r="F46" s="466"/>
      <c r="G46" s="287" t="s">
        <v>552</v>
      </c>
      <c r="H46" s="466"/>
      <c r="I46" s="468">
        <v>7406824</v>
      </c>
      <c r="J46" s="468">
        <v>0</v>
      </c>
      <c r="K46" s="468">
        <f t="shared" si="1"/>
        <v>7406824</v>
      </c>
      <c r="L46" s="501"/>
      <c r="M46" s="501"/>
      <c r="N46" s="501"/>
      <c r="O46" s="501"/>
    </row>
    <row r="47" spans="1:15" ht="15" customHeight="1" x14ac:dyDescent="0.2">
      <c r="A47" s="413">
        <v>42928</v>
      </c>
      <c r="B47" s="287" t="s">
        <v>644</v>
      </c>
      <c r="C47" s="467">
        <v>727</v>
      </c>
      <c r="D47" s="467">
        <v>826</v>
      </c>
      <c r="E47" s="322" t="s">
        <v>645</v>
      </c>
      <c r="F47" s="466"/>
      <c r="G47" s="287" t="s">
        <v>647</v>
      </c>
      <c r="H47" s="466"/>
      <c r="I47" s="468">
        <v>7500000</v>
      </c>
      <c r="J47" s="468">
        <v>0</v>
      </c>
      <c r="K47" s="468">
        <f t="shared" si="1"/>
        <v>7500000</v>
      </c>
      <c r="L47" s="501"/>
      <c r="M47" s="501"/>
      <c r="N47" s="501"/>
      <c r="O47" s="501"/>
    </row>
    <row r="48" spans="1:15" ht="15" customHeight="1" x14ac:dyDescent="0.2">
      <c r="A48" s="469">
        <v>42935</v>
      </c>
      <c r="B48" s="287" t="s">
        <v>643</v>
      </c>
      <c r="C48" s="467">
        <v>667</v>
      </c>
      <c r="D48" s="467">
        <v>845</v>
      </c>
      <c r="E48" s="322" t="s">
        <v>646</v>
      </c>
      <c r="F48" s="466"/>
      <c r="G48" s="287" t="s">
        <v>648</v>
      </c>
      <c r="H48" s="466"/>
      <c r="I48" s="468">
        <v>400000000</v>
      </c>
      <c r="J48" s="468">
        <v>0</v>
      </c>
      <c r="K48" s="492">
        <f t="shared" si="1"/>
        <v>400000000</v>
      </c>
      <c r="L48" s="501" t="s">
        <v>854</v>
      </c>
      <c r="M48" s="502">
        <v>42947</v>
      </c>
      <c r="N48" s="502">
        <v>43172</v>
      </c>
      <c r="O48" s="501"/>
    </row>
    <row r="49" spans="1:15" x14ac:dyDescent="0.2">
      <c r="A49" s="336"/>
      <c r="B49" s="337"/>
      <c r="C49" s="337"/>
      <c r="D49" s="337"/>
      <c r="E49" s="337"/>
      <c r="F49" s="337"/>
      <c r="G49" s="517" t="s">
        <v>132</v>
      </c>
      <c r="H49" s="518"/>
      <c r="I49" s="450">
        <f>SUM(I42:I48)</f>
        <v>2110308468</v>
      </c>
      <c r="J49" s="450">
        <f>SUM(J42:J48)</f>
        <v>675211994</v>
      </c>
      <c r="K49" s="490">
        <f>SUM(K42:K48)</f>
        <v>1435096474</v>
      </c>
      <c r="L49" s="501"/>
      <c r="M49" s="501"/>
      <c r="N49" s="501"/>
      <c r="O49" s="501"/>
    </row>
    <row r="50" spans="1:15" ht="15" customHeight="1" x14ac:dyDescent="0.2">
      <c r="A50" s="313" t="s">
        <v>109</v>
      </c>
      <c r="B50" s="341" t="s">
        <v>50</v>
      </c>
      <c r="C50" s="313"/>
      <c r="D50" s="313"/>
      <c r="E50" s="314"/>
      <c r="F50" s="314"/>
      <c r="G50" s="314"/>
      <c r="H50" s="314"/>
      <c r="I50" s="314"/>
      <c r="J50" s="314"/>
      <c r="K50" s="194"/>
      <c r="L50" s="501"/>
      <c r="M50" s="501"/>
      <c r="N50" s="501"/>
      <c r="O50" s="501"/>
    </row>
    <row r="51" spans="1:15" x14ac:dyDescent="0.2">
      <c r="A51" s="342">
        <v>42872</v>
      </c>
      <c r="B51" s="438" t="s">
        <v>719</v>
      </c>
      <c r="C51" s="344">
        <v>487</v>
      </c>
      <c r="D51" s="344">
        <v>670</v>
      </c>
      <c r="E51" s="325" t="s">
        <v>447</v>
      </c>
      <c r="F51" s="439"/>
      <c r="G51" s="457" t="s">
        <v>448</v>
      </c>
      <c r="H51" s="439"/>
      <c r="I51" s="394">
        <v>24990000</v>
      </c>
      <c r="J51" s="394">
        <v>4521556</v>
      </c>
      <c r="K51" s="496">
        <f>+I51-J51</f>
        <v>20468444</v>
      </c>
      <c r="L51" s="501"/>
      <c r="M51" s="501"/>
      <c r="N51" s="501"/>
      <c r="O51" s="501"/>
    </row>
    <row r="52" spans="1:15" x14ac:dyDescent="0.2">
      <c r="A52" s="348">
        <v>42962</v>
      </c>
      <c r="B52" s="263" t="s">
        <v>719</v>
      </c>
      <c r="C52" s="324">
        <v>752</v>
      </c>
      <c r="D52" s="324">
        <v>893</v>
      </c>
      <c r="E52" s="322" t="s">
        <v>720</v>
      </c>
      <c r="F52" s="393"/>
      <c r="G52" s="287" t="s">
        <v>448</v>
      </c>
      <c r="H52" s="393"/>
      <c r="I52" s="329">
        <v>324431994</v>
      </c>
      <c r="J52" s="329">
        <v>0</v>
      </c>
      <c r="K52" s="497">
        <f>+I52-J52</f>
        <v>324431994</v>
      </c>
      <c r="L52" s="501" t="s">
        <v>839</v>
      </c>
      <c r="M52" s="502">
        <v>42856</v>
      </c>
      <c r="N52" s="502">
        <v>43220</v>
      </c>
      <c r="O52" s="501"/>
    </row>
    <row r="53" spans="1:15" x14ac:dyDescent="0.2">
      <c r="A53" s="336"/>
      <c r="B53" s="337"/>
      <c r="C53" s="337"/>
      <c r="D53" s="337"/>
      <c r="E53" s="337"/>
      <c r="F53" s="337"/>
      <c r="G53" s="517" t="s">
        <v>132</v>
      </c>
      <c r="H53" s="518"/>
      <c r="I53" s="450">
        <f>SUM(I51:I52)</f>
        <v>349421994</v>
      </c>
      <c r="J53" s="450">
        <f>SUM(J51:J52)</f>
        <v>4521556</v>
      </c>
      <c r="K53" s="490">
        <f>SUM(K51:K52)</f>
        <v>344900438</v>
      </c>
      <c r="L53" s="501"/>
      <c r="M53" s="501"/>
      <c r="N53" s="501"/>
      <c r="O53" s="501"/>
    </row>
    <row r="54" spans="1:15" ht="12.75" customHeight="1" x14ac:dyDescent="0.25">
      <c r="A54" s="524" t="s">
        <v>837</v>
      </c>
      <c r="B54" s="524"/>
      <c r="C54" s="524"/>
      <c r="D54" s="524"/>
      <c r="E54" s="524"/>
      <c r="F54" s="524"/>
      <c r="G54" s="524"/>
      <c r="H54" s="524"/>
      <c r="I54" s="524"/>
      <c r="J54" s="524"/>
      <c r="K54" s="524"/>
      <c r="L54" s="501"/>
      <c r="M54" s="501"/>
      <c r="N54" s="501"/>
      <c r="O54" s="501"/>
    </row>
    <row r="55" spans="1:15" ht="15" customHeight="1" x14ac:dyDescent="0.2">
      <c r="A55" s="313" t="s">
        <v>127</v>
      </c>
      <c r="B55" s="341" t="s">
        <v>128</v>
      </c>
      <c r="C55" s="313"/>
      <c r="D55" s="313"/>
      <c r="E55" s="314"/>
      <c r="F55" s="314"/>
      <c r="G55" s="314"/>
      <c r="H55" s="314"/>
      <c r="I55" s="314"/>
      <c r="J55" s="314"/>
      <c r="K55" s="194"/>
      <c r="L55" s="501"/>
      <c r="M55" s="501"/>
      <c r="N55" s="501"/>
      <c r="O55" s="501"/>
    </row>
    <row r="56" spans="1:15" x14ac:dyDescent="0.2">
      <c r="A56" s="508" t="s">
        <v>28</v>
      </c>
      <c r="B56" s="30" t="s">
        <v>38</v>
      </c>
      <c r="C56" s="316" t="s">
        <v>34</v>
      </c>
      <c r="D56" s="30" t="s">
        <v>34</v>
      </c>
      <c r="E56" s="514" t="s">
        <v>40</v>
      </c>
      <c r="F56" s="515"/>
      <c r="G56" s="515"/>
      <c r="H56" s="516"/>
      <c r="I56" s="508" t="s">
        <v>31</v>
      </c>
      <c r="J56" s="508" t="s">
        <v>29</v>
      </c>
      <c r="K56" s="318" t="s">
        <v>56</v>
      </c>
      <c r="L56" s="501"/>
      <c r="M56" s="501"/>
      <c r="N56" s="501"/>
      <c r="O56" s="501"/>
    </row>
    <row r="57" spans="1:15" x14ac:dyDescent="0.2">
      <c r="A57" s="509"/>
      <c r="B57" s="319" t="s">
        <v>39</v>
      </c>
      <c r="C57" s="319" t="s">
        <v>36</v>
      </c>
      <c r="D57" s="319" t="s">
        <v>35</v>
      </c>
      <c r="E57" s="514" t="s">
        <v>33</v>
      </c>
      <c r="F57" s="516"/>
      <c r="G57" s="514" t="s">
        <v>32</v>
      </c>
      <c r="H57" s="516"/>
      <c r="I57" s="509"/>
      <c r="J57" s="509"/>
      <c r="K57" s="487" t="s">
        <v>57</v>
      </c>
      <c r="L57" s="501"/>
      <c r="M57" s="501"/>
      <c r="N57" s="501"/>
      <c r="O57" s="501"/>
    </row>
    <row r="58" spans="1:15" x14ac:dyDescent="0.2">
      <c r="A58" s="342">
        <v>42907</v>
      </c>
      <c r="B58" s="453" t="s">
        <v>855</v>
      </c>
      <c r="C58" s="453">
        <v>474</v>
      </c>
      <c r="D58" s="453">
        <v>785</v>
      </c>
      <c r="E58" s="325" t="s">
        <v>593</v>
      </c>
      <c r="F58" s="377"/>
      <c r="G58" s="325" t="s">
        <v>594</v>
      </c>
      <c r="H58" s="377"/>
      <c r="I58" s="470">
        <v>318270000</v>
      </c>
      <c r="J58" s="325">
        <v>49500000</v>
      </c>
      <c r="K58" s="498">
        <f>+I58-J58</f>
        <v>268770000</v>
      </c>
      <c r="L58" s="501" t="s">
        <v>845</v>
      </c>
      <c r="M58" s="502">
        <v>42921</v>
      </c>
      <c r="N58" s="502">
        <v>43136</v>
      </c>
      <c r="O58" s="501" t="s">
        <v>864</v>
      </c>
    </row>
    <row r="59" spans="1:15" ht="12.75" customHeight="1" x14ac:dyDescent="0.2">
      <c r="A59" s="348">
        <v>42907</v>
      </c>
      <c r="B59" s="471" t="s">
        <v>855</v>
      </c>
      <c r="C59" s="471">
        <v>599</v>
      </c>
      <c r="D59" s="471">
        <v>786</v>
      </c>
      <c r="E59" s="322" t="s">
        <v>593</v>
      </c>
      <c r="F59" s="331"/>
      <c r="G59" s="322" t="s">
        <v>594</v>
      </c>
      <c r="H59" s="331"/>
      <c r="I59" s="472">
        <v>11730000</v>
      </c>
      <c r="J59" s="322">
        <v>0</v>
      </c>
      <c r="K59" s="499">
        <f>+I59-J59</f>
        <v>11730000</v>
      </c>
      <c r="L59" s="501"/>
      <c r="M59" s="501"/>
      <c r="N59" s="501"/>
      <c r="O59" s="501"/>
    </row>
    <row r="60" spans="1:15" x14ac:dyDescent="0.2">
      <c r="A60" s="336"/>
      <c r="B60" s="337"/>
      <c r="C60" s="337"/>
      <c r="D60" s="337"/>
      <c r="E60" s="337"/>
      <c r="F60" s="337"/>
      <c r="G60" s="517" t="s">
        <v>132</v>
      </c>
      <c r="H60" s="518"/>
      <c r="I60" s="450">
        <f>SUM(I58:I59)</f>
        <v>330000000</v>
      </c>
      <c r="J60" s="450">
        <f>SUM(J58:J59)</f>
        <v>49500000</v>
      </c>
      <c r="K60" s="490">
        <f>SUM(K58:K59)</f>
        <v>280500000</v>
      </c>
      <c r="L60" s="501"/>
      <c r="M60" s="501"/>
      <c r="N60" s="501"/>
      <c r="O60" s="501"/>
    </row>
    <row r="61" spans="1:15" ht="15" customHeight="1" x14ac:dyDescent="0.2">
      <c r="A61" s="313" t="s">
        <v>114</v>
      </c>
      <c r="B61" s="341" t="s">
        <v>52</v>
      </c>
      <c r="C61" s="313"/>
      <c r="D61" s="313"/>
      <c r="E61" s="314"/>
      <c r="F61" s="314"/>
      <c r="G61" s="314"/>
      <c r="H61" s="314"/>
      <c r="I61" s="314"/>
      <c r="J61" s="314"/>
      <c r="K61" s="194"/>
      <c r="L61" s="501"/>
      <c r="M61" s="501"/>
      <c r="N61" s="501"/>
      <c r="O61" s="501"/>
    </row>
    <row r="62" spans="1:15" x14ac:dyDescent="0.2">
      <c r="A62" s="342">
        <v>42902</v>
      </c>
      <c r="B62" s="453" t="s">
        <v>595</v>
      </c>
      <c r="C62" s="355">
        <v>459</v>
      </c>
      <c r="D62" s="344">
        <v>769</v>
      </c>
      <c r="E62" s="343" t="s">
        <v>596</v>
      </c>
      <c r="F62" s="439"/>
      <c r="G62" s="325" t="s">
        <v>597</v>
      </c>
      <c r="H62" s="439"/>
      <c r="I62" s="429">
        <v>395700075</v>
      </c>
      <c r="J62" s="473">
        <v>0</v>
      </c>
      <c r="K62" s="491">
        <f>+I62-J62</f>
        <v>395700075</v>
      </c>
      <c r="L62" s="501" t="s">
        <v>845</v>
      </c>
      <c r="M62" s="502">
        <v>42915</v>
      </c>
      <c r="N62" s="502">
        <v>43129</v>
      </c>
      <c r="O62" s="501"/>
    </row>
    <row r="63" spans="1:15" x14ac:dyDescent="0.2">
      <c r="A63" s="336"/>
      <c r="B63" s="337"/>
      <c r="C63" s="337"/>
      <c r="D63" s="337"/>
      <c r="E63" s="337"/>
      <c r="F63" s="337"/>
      <c r="G63" s="517" t="s">
        <v>132</v>
      </c>
      <c r="H63" s="518"/>
      <c r="I63" s="450">
        <f>SUM(I62:I62)</f>
        <v>395700075</v>
      </c>
      <c r="J63" s="450">
        <f>SUM(J62:J62)</f>
        <v>0</v>
      </c>
      <c r="K63" s="490">
        <f>SUM(K62:K62)</f>
        <v>395700075</v>
      </c>
      <c r="L63" s="501"/>
      <c r="M63" s="501"/>
      <c r="N63" s="501"/>
      <c r="O63" s="501"/>
    </row>
    <row r="64" spans="1:15" ht="15" customHeight="1" x14ac:dyDescent="0.2">
      <c r="A64" s="313" t="s">
        <v>115</v>
      </c>
      <c r="B64" s="341" t="s">
        <v>53</v>
      </c>
      <c r="C64" s="313"/>
      <c r="D64" s="313"/>
      <c r="E64" s="314"/>
      <c r="F64" s="314"/>
      <c r="G64" s="314"/>
      <c r="H64" s="314"/>
      <c r="I64" s="314"/>
      <c r="J64" s="314"/>
      <c r="K64" s="194"/>
      <c r="L64" s="501"/>
      <c r="M64" s="501"/>
      <c r="N64" s="501"/>
      <c r="O64" s="501"/>
    </row>
    <row r="65" spans="1:15" x14ac:dyDescent="0.2">
      <c r="A65" s="474">
        <v>42962</v>
      </c>
      <c r="B65" s="475" t="s">
        <v>741</v>
      </c>
      <c r="C65" s="476">
        <v>776</v>
      </c>
      <c r="D65" s="476">
        <v>894</v>
      </c>
      <c r="E65" s="336" t="s">
        <v>742</v>
      </c>
      <c r="F65" s="477"/>
      <c r="G65" s="478" t="s">
        <v>743</v>
      </c>
      <c r="H65" s="477"/>
      <c r="I65" s="479">
        <v>30000000</v>
      </c>
      <c r="J65" s="479"/>
      <c r="K65" s="500">
        <f>+I65-J65</f>
        <v>30000000</v>
      </c>
      <c r="L65" s="501"/>
      <c r="M65" s="501"/>
      <c r="N65" s="501"/>
      <c r="O65" s="501"/>
    </row>
    <row r="66" spans="1:15" x14ac:dyDescent="0.2">
      <c r="A66" s="336"/>
      <c r="B66" s="337"/>
      <c r="C66" s="337"/>
      <c r="D66" s="337"/>
      <c r="E66" s="337"/>
      <c r="F66" s="337"/>
      <c r="G66" s="517" t="s">
        <v>132</v>
      </c>
      <c r="H66" s="518"/>
      <c r="I66" s="450">
        <f>SUM(I65:I65)</f>
        <v>30000000</v>
      </c>
      <c r="J66" s="450">
        <f>SUM(J65:J65)</f>
        <v>0</v>
      </c>
      <c r="K66" s="490">
        <f>SUM(K65:K65)</f>
        <v>30000000</v>
      </c>
      <c r="L66" s="501"/>
      <c r="M66" s="501"/>
      <c r="N66" s="501"/>
      <c r="O66" s="501"/>
    </row>
    <row r="67" spans="1:15" ht="15" customHeight="1" x14ac:dyDescent="0.2">
      <c r="A67" s="313" t="s">
        <v>116</v>
      </c>
      <c r="B67" s="341" t="s">
        <v>54</v>
      </c>
      <c r="C67" s="313"/>
      <c r="D67" s="313"/>
      <c r="E67" s="314"/>
      <c r="F67" s="314"/>
      <c r="G67" s="314"/>
      <c r="H67" s="314"/>
      <c r="I67" s="314"/>
      <c r="J67" s="314"/>
      <c r="K67" s="194"/>
      <c r="L67" s="501"/>
      <c r="M67" s="501"/>
      <c r="N67" s="501"/>
      <c r="O67" s="501"/>
    </row>
    <row r="68" spans="1:15" x14ac:dyDescent="0.2">
      <c r="A68" s="342">
        <v>42935</v>
      </c>
      <c r="B68" s="438" t="s">
        <v>669</v>
      </c>
      <c r="C68" s="344">
        <v>719</v>
      </c>
      <c r="D68" s="344">
        <v>848</v>
      </c>
      <c r="E68" s="325" t="s">
        <v>670</v>
      </c>
      <c r="F68" s="439"/>
      <c r="G68" s="480" t="s">
        <v>671</v>
      </c>
      <c r="H68" s="323"/>
      <c r="I68" s="394">
        <v>24780000</v>
      </c>
      <c r="J68" s="394">
        <v>0</v>
      </c>
      <c r="K68" s="495">
        <f>+I68-J68</f>
        <v>24780000</v>
      </c>
      <c r="L68" s="501"/>
      <c r="M68" s="501"/>
      <c r="N68" s="501"/>
      <c r="O68" s="501"/>
    </row>
    <row r="69" spans="1:15" x14ac:dyDescent="0.2">
      <c r="A69" s="348">
        <v>42950</v>
      </c>
      <c r="B69" s="263" t="s">
        <v>744</v>
      </c>
      <c r="C69" s="324">
        <v>737</v>
      </c>
      <c r="D69" s="324">
        <v>877</v>
      </c>
      <c r="E69" s="322" t="s">
        <v>745</v>
      </c>
      <c r="F69" s="393"/>
      <c r="G69" s="322" t="s">
        <v>746</v>
      </c>
      <c r="H69" s="331"/>
      <c r="I69" s="481">
        <v>15779400</v>
      </c>
      <c r="J69" s="481">
        <v>0</v>
      </c>
      <c r="K69" s="468">
        <f>+I69-J69</f>
        <v>15779400</v>
      </c>
      <c r="L69" s="501"/>
      <c r="M69" s="501"/>
      <c r="N69" s="501"/>
      <c r="O69" s="501"/>
    </row>
    <row r="70" spans="1:15" x14ac:dyDescent="0.2">
      <c r="A70" s="348">
        <v>42979</v>
      </c>
      <c r="B70" s="263" t="s">
        <v>830</v>
      </c>
      <c r="C70" s="324">
        <v>770</v>
      </c>
      <c r="D70" s="324">
        <v>945</v>
      </c>
      <c r="E70" s="322" t="s">
        <v>747</v>
      </c>
      <c r="F70" s="393"/>
      <c r="G70" s="322" t="s">
        <v>831</v>
      </c>
      <c r="H70" s="331"/>
      <c r="I70" s="329">
        <v>10000000</v>
      </c>
      <c r="J70" s="329">
        <v>0</v>
      </c>
      <c r="K70" s="468">
        <f>+I70-J70</f>
        <v>10000000</v>
      </c>
      <c r="L70" s="501"/>
      <c r="M70" s="501"/>
      <c r="N70" s="501"/>
      <c r="O70" s="501"/>
    </row>
    <row r="71" spans="1:15" x14ac:dyDescent="0.2">
      <c r="A71" s="336"/>
      <c r="B71" s="337"/>
      <c r="C71" s="337"/>
      <c r="D71" s="337"/>
      <c r="E71" s="337"/>
      <c r="F71" s="337"/>
      <c r="G71" s="517" t="s">
        <v>132</v>
      </c>
      <c r="H71" s="518"/>
      <c r="I71" s="450">
        <f>SUM(I68:I70)</f>
        <v>50559400</v>
      </c>
      <c r="J71" s="450">
        <f>SUM(J68:J70)</f>
        <v>0</v>
      </c>
      <c r="K71" s="490">
        <f>SUM(K68:K70)</f>
        <v>50559400</v>
      </c>
      <c r="L71" s="501"/>
      <c r="M71" s="501"/>
      <c r="N71" s="501"/>
      <c r="O71" s="501"/>
    </row>
    <row r="72" spans="1:15" ht="15" customHeight="1" x14ac:dyDescent="0.2">
      <c r="A72" s="313" t="s">
        <v>117</v>
      </c>
      <c r="B72" s="341" t="s">
        <v>118</v>
      </c>
      <c r="C72" s="313"/>
      <c r="D72" s="313"/>
      <c r="E72" s="314"/>
      <c r="F72" s="314"/>
      <c r="G72" s="314"/>
      <c r="H72" s="314"/>
      <c r="I72" s="314"/>
      <c r="J72" s="314"/>
      <c r="K72" s="194"/>
      <c r="L72" s="501"/>
      <c r="M72" s="501"/>
      <c r="N72" s="501"/>
      <c r="O72" s="501"/>
    </row>
    <row r="73" spans="1:15" x14ac:dyDescent="0.2">
      <c r="A73" s="385">
        <v>42867</v>
      </c>
      <c r="B73" s="263" t="s">
        <v>430</v>
      </c>
      <c r="C73" s="324">
        <v>508</v>
      </c>
      <c r="D73" s="324">
        <v>656</v>
      </c>
      <c r="E73" s="482" t="s">
        <v>409</v>
      </c>
      <c r="F73" s="393"/>
      <c r="G73" s="287" t="s">
        <v>410</v>
      </c>
      <c r="H73" s="393"/>
      <c r="I73" s="335">
        <v>5318294</v>
      </c>
      <c r="J73" s="335">
        <v>5264502</v>
      </c>
      <c r="K73" s="468">
        <f>+I73-J73</f>
        <v>53792</v>
      </c>
      <c r="L73" s="501"/>
      <c r="M73" s="501"/>
      <c r="N73" s="501"/>
      <c r="O73" s="501"/>
    </row>
    <row r="74" spans="1:15" x14ac:dyDescent="0.2">
      <c r="A74" s="385">
        <v>42899</v>
      </c>
      <c r="B74" s="263" t="s">
        <v>600</v>
      </c>
      <c r="C74" s="324">
        <v>625</v>
      </c>
      <c r="D74" s="324">
        <v>750</v>
      </c>
      <c r="E74" s="482" t="s">
        <v>601</v>
      </c>
      <c r="F74" s="393"/>
      <c r="G74" s="287" t="s">
        <v>602</v>
      </c>
      <c r="H74" s="393"/>
      <c r="I74" s="335">
        <v>21703030</v>
      </c>
      <c r="J74" s="335">
        <v>21235575</v>
      </c>
      <c r="K74" s="468">
        <f>+I74-J74</f>
        <v>467455</v>
      </c>
      <c r="L74" s="501"/>
      <c r="M74" s="501"/>
      <c r="N74" s="501"/>
      <c r="O74" s="501"/>
    </row>
    <row r="75" spans="1:15" x14ac:dyDescent="0.2">
      <c r="A75" s="336"/>
      <c r="B75" s="337"/>
      <c r="C75" s="337"/>
      <c r="D75" s="337"/>
      <c r="E75" s="337"/>
      <c r="F75" s="337"/>
      <c r="G75" s="517" t="s">
        <v>132</v>
      </c>
      <c r="H75" s="518"/>
      <c r="I75" s="450">
        <f>SUM(I73:I74)</f>
        <v>27021324</v>
      </c>
      <c r="J75" s="450">
        <f>SUM(J73:J74)</f>
        <v>26500077</v>
      </c>
      <c r="K75" s="490">
        <f>SUM(K73:K74)</f>
        <v>521247</v>
      </c>
      <c r="L75" s="501"/>
      <c r="M75" s="501"/>
      <c r="N75" s="501"/>
      <c r="O75" s="501"/>
    </row>
    <row r="76" spans="1:15" ht="15" customHeight="1" x14ac:dyDescent="0.2">
      <c r="A76" s="313" t="s">
        <v>124</v>
      </c>
      <c r="B76" s="341" t="s">
        <v>92</v>
      </c>
      <c r="C76" s="313"/>
      <c r="D76" s="313"/>
      <c r="E76" s="314"/>
      <c r="F76" s="314"/>
      <c r="G76" s="314"/>
      <c r="H76" s="314"/>
      <c r="I76" s="314"/>
      <c r="J76" s="314"/>
      <c r="K76" s="194"/>
      <c r="L76" s="501"/>
      <c r="M76" s="501"/>
      <c r="N76" s="501"/>
      <c r="O76" s="501"/>
    </row>
    <row r="77" spans="1:15" x14ac:dyDescent="0.2">
      <c r="A77" s="342">
        <v>42915</v>
      </c>
      <c r="B77" s="438" t="s">
        <v>606</v>
      </c>
      <c r="C77" s="344">
        <v>716</v>
      </c>
      <c r="D77" s="344">
        <v>809</v>
      </c>
      <c r="E77" s="483" t="s">
        <v>611</v>
      </c>
      <c r="F77" s="439"/>
      <c r="G77" s="457" t="s">
        <v>368</v>
      </c>
      <c r="H77" s="439"/>
      <c r="I77" s="434">
        <v>19184000</v>
      </c>
      <c r="J77" s="434">
        <v>9911733</v>
      </c>
      <c r="K77" s="495">
        <f t="shared" ref="K77:K84" si="2">+I77-J77</f>
        <v>9272267</v>
      </c>
      <c r="L77" s="501"/>
      <c r="M77" s="501"/>
      <c r="N77" s="501"/>
      <c r="O77" s="501"/>
    </row>
    <row r="78" spans="1:15" x14ac:dyDescent="0.2">
      <c r="A78" s="348">
        <v>42915</v>
      </c>
      <c r="B78" s="263" t="s">
        <v>607</v>
      </c>
      <c r="C78" s="324">
        <v>718</v>
      </c>
      <c r="D78" s="324">
        <v>810</v>
      </c>
      <c r="E78" s="482" t="s">
        <v>611</v>
      </c>
      <c r="F78" s="393"/>
      <c r="G78" s="287" t="s">
        <v>366</v>
      </c>
      <c r="H78" s="393"/>
      <c r="I78" s="437">
        <v>17000000</v>
      </c>
      <c r="J78" s="437">
        <v>8783333</v>
      </c>
      <c r="K78" s="468">
        <f t="shared" si="2"/>
        <v>8216667</v>
      </c>
      <c r="L78" s="501"/>
      <c r="M78" s="501"/>
      <c r="N78" s="501"/>
      <c r="O78" s="501"/>
    </row>
    <row r="79" spans="1:15" x14ac:dyDescent="0.2">
      <c r="A79" s="348">
        <v>42915</v>
      </c>
      <c r="B79" s="263" t="s">
        <v>608</v>
      </c>
      <c r="C79" s="324">
        <v>717</v>
      </c>
      <c r="D79" s="324">
        <v>811</v>
      </c>
      <c r="E79" s="482" t="s">
        <v>611</v>
      </c>
      <c r="F79" s="393"/>
      <c r="G79" s="287" t="s">
        <v>365</v>
      </c>
      <c r="H79" s="393"/>
      <c r="I79" s="437">
        <v>17000000</v>
      </c>
      <c r="J79" s="437">
        <v>8783333</v>
      </c>
      <c r="K79" s="468">
        <f t="shared" si="2"/>
        <v>8216667</v>
      </c>
      <c r="L79" s="501"/>
      <c r="M79" s="501"/>
      <c r="N79" s="501"/>
      <c r="O79" s="501"/>
    </row>
    <row r="80" spans="1:15" x14ac:dyDescent="0.2">
      <c r="A80" s="348">
        <v>42915</v>
      </c>
      <c r="B80" s="263" t="s">
        <v>609</v>
      </c>
      <c r="C80" s="324">
        <v>715</v>
      </c>
      <c r="D80" s="324">
        <v>812</v>
      </c>
      <c r="E80" s="482" t="s">
        <v>611</v>
      </c>
      <c r="F80" s="393"/>
      <c r="G80" s="287" t="s">
        <v>369</v>
      </c>
      <c r="H80" s="393"/>
      <c r="I80" s="437">
        <v>19184000</v>
      </c>
      <c r="J80" s="437">
        <v>9911733</v>
      </c>
      <c r="K80" s="468">
        <f t="shared" si="2"/>
        <v>9272267</v>
      </c>
      <c r="L80" s="501"/>
      <c r="M80" s="501"/>
      <c r="N80" s="501"/>
      <c r="O80" s="501"/>
    </row>
    <row r="81" spans="1:15" x14ac:dyDescent="0.2">
      <c r="A81" s="348">
        <v>42935</v>
      </c>
      <c r="B81" s="263" t="s">
        <v>688</v>
      </c>
      <c r="C81" s="324">
        <v>748</v>
      </c>
      <c r="D81" s="324">
        <v>847</v>
      </c>
      <c r="E81" s="482" t="s">
        <v>690</v>
      </c>
      <c r="F81" s="393"/>
      <c r="G81" s="287" t="s">
        <v>691</v>
      </c>
      <c r="H81" s="393"/>
      <c r="I81" s="437">
        <v>20300000</v>
      </c>
      <c r="J81" s="437">
        <v>5007333</v>
      </c>
      <c r="K81" s="468">
        <f t="shared" si="2"/>
        <v>15292667</v>
      </c>
      <c r="L81" s="501"/>
      <c r="M81" s="501"/>
      <c r="N81" s="501"/>
      <c r="O81" s="501"/>
    </row>
    <row r="82" spans="1:15" x14ac:dyDescent="0.2">
      <c r="A82" s="348">
        <v>42940</v>
      </c>
      <c r="B82" s="263" t="s">
        <v>689</v>
      </c>
      <c r="C82" s="324">
        <v>649</v>
      </c>
      <c r="D82" s="324">
        <v>856</v>
      </c>
      <c r="E82" s="484" t="s">
        <v>438</v>
      </c>
      <c r="F82" s="393"/>
      <c r="G82" s="287" t="s">
        <v>692</v>
      </c>
      <c r="H82" s="393"/>
      <c r="I82" s="437">
        <v>51986935</v>
      </c>
      <c r="J82" s="437">
        <v>0</v>
      </c>
      <c r="K82" s="468">
        <f t="shared" si="2"/>
        <v>51986935</v>
      </c>
      <c r="L82" s="501"/>
      <c r="M82" s="501"/>
      <c r="N82" s="501"/>
      <c r="O82" s="501"/>
    </row>
    <row r="83" spans="1:15" x14ac:dyDescent="0.2">
      <c r="A83" s="348">
        <v>42961</v>
      </c>
      <c r="B83" s="263" t="s">
        <v>753</v>
      </c>
      <c r="C83" s="324">
        <v>772</v>
      </c>
      <c r="D83" s="324">
        <v>891</v>
      </c>
      <c r="E83" s="484" t="s">
        <v>755</v>
      </c>
      <c r="F83" s="393"/>
      <c r="G83" s="287" t="s">
        <v>756</v>
      </c>
      <c r="H83" s="393"/>
      <c r="I83" s="437">
        <v>16650000</v>
      </c>
      <c r="J83" s="437">
        <v>2096667</v>
      </c>
      <c r="K83" s="468">
        <f t="shared" si="2"/>
        <v>14553333</v>
      </c>
      <c r="L83" s="501"/>
      <c r="M83" s="501"/>
      <c r="N83" s="501"/>
      <c r="O83" s="501"/>
    </row>
    <row r="84" spans="1:15" x14ac:dyDescent="0.2">
      <c r="A84" s="348">
        <v>42979</v>
      </c>
      <c r="B84" s="263" t="s">
        <v>832</v>
      </c>
      <c r="C84" s="324">
        <v>795</v>
      </c>
      <c r="D84" s="324">
        <v>946</v>
      </c>
      <c r="E84" s="482" t="s">
        <v>833</v>
      </c>
      <c r="F84" s="393"/>
      <c r="G84" s="287" t="s">
        <v>834</v>
      </c>
      <c r="H84" s="393"/>
      <c r="I84" s="437">
        <v>18800000</v>
      </c>
      <c r="J84" s="437">
        <v>0</v>
      </c>
      <c r="K84" s="468">
        <f t="shared" si="2"/>
        <v>18800000</v>
      </c>
      <c r="L84" s="501"/>
      <c r="M84" s="501"/>
      <c r="N84" s="501"/>
      <c r="O84" s="501"/>
    </row>
    <row r="85" spans="1:15" x14ac:dyDescent="0.2">
      <c r="A85" s="336"/>
      <c r="B85" s="337"/>
      <c r="C85" s="337"/>
      <c r="D85" s="337"/>
      <c r="E85" s="337"/>
      <c r="F85" s="337"/>
      <c r="G85" s="517" t="s">
        <v>132</v>
      </c>
      <c r="H85" s="518"/>
      <c r="I85" s="450">
        <f>SUM(I77:I84)</f>
        <v>180104935</v>
      </c>
      <c r="J85" s="450">
        <f>SUM(J77:J84)</f>
        <v>44494132</v>
      </c>
      <c r="K85" s="490">
        <f>SUM(K77:K84)</f>
        <v>135610803</v>
      </c>
      <c r="L85" s="501"/>
      <c r="M85" s="501"/>
      <c r="N85" s="501"/>
      <c r="O85" s="501"/>
    </row>
    <row r="87" spans="1:15" ht="13.5" thickBot="1" x14ac:dyDescent="0.25"/>
    <row r="88" spans="1:15" ht="13.5" thickBot="1" x14ac:dyDescent="0.25">
      <c r="G88" s="525" t="s">
        <v>838</v>
      </c>
      <c r="H88" s="526"/>
      <c r="I88" s="526"/>
      <c r="J88" s="526"/>
      <c r="K88" s="485">
        <f>+K85+K75+K71+K66+K63+K60+K53+K49+K40+K36+K29+K25+K22+K8</f>
        <v>5003552206</v>
      </c>
    </row>
  </sheetData>
  <mergeCells count="29">
    <mergeCell ref="G29:H29"/>
    <mergeCell ref="G85:H85"/>
    <mergeCell ref="G60:H60"/>
    <mergeCell ref="G53:H53"/>
    <mergeCell ref="G63:H63"/>
    <mergeCell ref="G49:H49"/>
    <mergeCell ref="G66:H66"/>
    <mergeCell ref="E56:H56"/>
    <mergeCell ref="E57:F57"/>
    <mergeCell ref="G88:J88"/>
    <mergeCell ref="A56:A57"/>
    <mergeCell ref="I56:I57"/>
    <mergeCell ref="J56:J57"/>
    <mergeCell ref="G57:H57"/>
    <mergeCell ref="G22:H22"/>
    <mergeCell ref="G40:H40"/>
    <mergeCell ref="G71:H71"/>
    <mergeCell ref="G36:H36"/>
    <mergeCell ref="G75:H75"/>
    <mergeCell ref="A1:K1"/>
    <mergeCell ref="A54:K54"/>
    <mergeCell ref="G8:H8"/>
    <mergeCell ref="A4:A5"/>
    <mergeCell ref="E4:H4"/>
    <mergeCell ref="I4:I5"/>
    <mergeCell ref="J4:J5"/>
    <mergeCell ref="E5:F5"/>
    <mergeCell ref="G5:H5"/>
    <mergeCell ref="G25:H25"/>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M15" sqref="M1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116</v>
      </c>
      <c r="B3" s="84" t="s">
        <v>54</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50"/>
      <c r="B7" s="63"/>
      <c r="C7" s="66"/>
      <c r="D7" s="50"/>
      <c r="E7" s="250"/>
      <c r="F7" s="45"/>
      <c r="G7" s="46"/>
      <c r="H7" s="47"/>
      <c r="I7" s="75"/>
      <c r="J7" s="42"/>
      <c r="K7" s="43"/>
    </row>
    <row r="8" spans="1:11" ht="12.75" customHeight="1" x14ac:dyDescent="0.25">
      <c r="A8" s="48"/>
      <c r="B8" s="53"/>
      <c r="C8" s="51"/>
      <c r="D8" s="44"/>
      <c r="E8" s="44"/>
      <c r="F8" s="37"/>
      <c r="G8" s="51"/>
      <c r="H8" s="52"/>
      <c r="I8" s="76"/>
      <c r="J8" s="44"/>
      <c r="K8" s="49"/>
    </row>
    <row r="9" spans="1:11" x14ac:dyDescent="0.25">
      <c r="A9" s="55"/>
      <c r="B9" s="56"/>
      <c r="C9" s="56"/>
      <c r="D9" s="56"/>
      <c r="E9" s="56"/>
      <c r="F9" s="56"/>
      <c r="G9" s="527" t="s">
        <v>132</v>
      </c>
      <c r="H9" s="528"/>
      <c r="I9" s="77">
        <f>SUM(I7:I8)</f>
        <v>0</v>
      </c>
      <c r="J9" s="57"/>
      <c r="K9" s="58"/>
    </row>
    <row r="10" spans="1:11" ht="12.75" customHeight="1" x14ac:dyDescent="0.25">
      <c r="A10" s="3"/>
      <c r="B10" s="3"/>
      <c r="C10" s="3"/>
      <c r="D10" s="3"/>
      <c r="E10" s="3"/>
      <c r="F10" s="3"/>
      <c r="G10" s="3"/>
      <c r="H10" s="3"/>
      <c r="I10" s="3"/>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41"/>
      <c r="B13" s="41"/>
      <c r="C13" s="41"/>
      <c r="D13" s="41"/>
      <c r="E13" s="44"/>
      <c r="F13" s="49"/>
      <c r="G13" s="42"/>
      <c r="H13" s="49"/>
      <c r="I13" s="62"/>
      <c r="J13" s="62"/>
      <c r="K13" s="62"/>
    </row>
    <row r="14" spans="1:11" x14ac:dyDescent="0.25">
      <c r="A14" s="48">
        <v>42935</v>
      </c>
      <c r="B14" s="63" t="s">
        <v>669</v>
      </c>
      <c r="C14" s="64">
        <v>719</v>
      </c>
      <c r="D14" s="64">
        <v>848</v>
      </c>
      <c r="E14" s="44" t="s">
        <v>670</v>
      </c>
      <c r="F14" s="66"/>
      <c r="G14" s="306" t="s">
        <v>671</v>
      </c>
      <c r="H14" s="49"/>
      <c r="I14" s="78">
        <v>24780000</v>
      </c>
      <c r="J14" s="78">
        <v>3717000</v>
      </c>
      <c r="K14" s="78">
        <f>+I14-J14</f>
        <v>21063000</v>
      </c>
    </row>
    <row r="15" spans="1:11" x14ac:dyDescent="0.25">
      <c r="A15" s="48">
        <v>42950</v>
      </c>
      <c r="B15" s="63" t="s">
        <v>744</v>
      </c>
      <c r="C15" s="64">
        <v>737</v>
      </c>
      <c r="D15" s="64">
        <v>877</v>
      </c>
      <c r="E15" s="44" t="s">
        <v>745</v>
      </c>
      <c r="F15" s="66"/>
      <c r="G15" s="44" t="s">
        <v>746</v>
      </c>
      <c r="H15" s="49"/>
      <c r="I15" s="162">
        <v>15779400</v>
      </c>
      <c r="J15" s="162">
        <v>0</v>
      </c>
      <c r="K15" s="78">
        <f>+I15-J15</f>
        <v>15779400</v>
      </c>
    </row>
    <row r="16" spans="1:11" x14ac:dyDescent="0.25">
      <c r="A16" s="48">
        <v>42979</v>
      </c>
      <c r="B16" s="63" t="s">
        <v>830</v>
      </c>
      <c r="C16" s="64">
        <v>770</v>
      </c>
      <c r="D16" s="64">
        <v>945</v>
      </c>
      <c r="E16" s="44" t="s">
        <v>747</v>
      </c>
      <c r="F16" s="66"/>
      <c r="G16" s="44" t="s">
        <v>831</v>
      </c>
      <c r="H16" s="49"/>
      <c r="I16" s="78">
        <v>10000000</v>
      </c>
      <c r="J16" s="78">
        <v>10000000</v>
      </c>
      <c r="K16" s="78">
        <f>+I16-J16</f>
        <v>0</v>
      </c>
    </row>
    <row r="17" spans="1:11" x14ac:dyDescent="0.25">
      <c r="A17" s="48">
        <v>43006</v>
      </c>
      <c r="B17" s="63" t="s">
        <v>1047</v>
      </c>
      <c r="C17" s="64">
        <v>759</v>
      </c>
      <c r="D17" s="64">
        <v>1114</v>
      </c>
      <c r="E17" s="44" t="s">
        <v>684</v>
      </c>
      <c r="F17" s="66"/>
      <c r="G17" s="44" t="s">
        <v>1156</v>
      </c>
      <c r="H17" s="49"/>
      <c r="I17" s="78">
        <v>15000000</v>
      </c>
      <c r="J17" s="78">
        <v>0</v>
      </c>
      <c r="K17" s="78">
        <f>+I17-J17</f>
        <v>15000000</v>
      </c>
    </row>
    <row r="18" spans="1:11" x14ac:dyDescent="0.25">
      <c r="A18" s="48">
        <v>43035</v>
      </c>
      <c r="B18" s="63" t="s">
        <v>1154</v>
      </c>
      <c r="C18" s="64">
        <v>720</v>
      </c>
      <c r="D18" s="64">
        <v>1228</v>
      </c>
      <c r="E18" s="44" t="s">
        <v>1155</v>
      </c>
      <c r="F18" s="66"/>
      <c r="G18" s="44" t="s">
        <v>1157</v>
      </c>
      <c r="H18" s="49"/>
      <c r="I18" s="78">
        <v>25000000</v>
      </c>
      <c r="J18" s="78">
        <v>0</v>
      </c>
      <c r="K18" s="78">
        <f>+I18-J18</f>
        <v>25000000</v>
      </c>
    </row>
    <row r="19" spans="1:11" ht="12.75" customHeight="1" x14ac:dyDescent="0.25">
      <c r="A19" s="48"/>
      <c r="B19" s="63"/>
      <c r="C19" s="41"/>
      <c r="D19" s="41"/>
      <c r="E19" s="44"/>
      <c r="F19" s="49"/>
      <c r="G19" s="44"/>
      <c r="H19" s="49"/>
      <c r="I19" s="94"/>
      <c r="J19" s="94"/>
      <c r="K19" s="94"/>
    </row>
    <row r="20" spans="1:11" x14ac:dyDescent="0.25">
      <c r="A20" s="55"/>
      <c r="B20" s="56"/>
      <c r="C20" s="56"/>
      <c r="D20" s="56"/>
      <c r="E20" s="56"/>
      <c r="F20" s="56"/>
      <c r="G20" s="527" t="s">
        <v>132</v>
      </c>
      <c r="H20" s="528"/>
      <c r="I20" s="83">
        <f>SUM(I14:I19)</f>
        <v>90559400</v>
      </c>
      <c r="J20" s="83">
        <f>SUM(J14:J19)</f>
        <v>13717000</v>
      </c>
      <c r="K20" s="83">
        <f>SUM(K14:K19)</f>
        <v>76842400</v>
      </c>
    </row>
    <row r="21" spans="1:11" ht="12.75" customHeight="1" x14ac:dyDescent="0.25">
      <c r="A21" s="3"/>
      <c r="B21" s="3"/>
      <c r="C21" s="3"/>
      <c r="D21" s="3"/>
      <c r="E21" s="3"/>
      <c r="F21" s="3"/>
      <c r="G21" s="3"/>
      <c r="H21" s="3"/>
      <c r="I21" s="22"/>
      <c r="J21" s="37"/>
      <c r="K21" s="56"/>
    </row>
    <row r="22" spans="1:11" ht="24.95" customHeight="1" x14ac:dyDescent="0.25">
      <c r="A22" s="31" t="s">
        <v>58</v>
      </c>
      <c r="B22" s="31" t="s">
        <v>133</v>
      </c>
      <c r="C22" s="31" t="s">
        <v>30</v>
      </c>
      <c r="D22" s="32" t="s">
        <v>59</v>
      </c>
      <c r="E22" s="31" t="s">
        <v>40</v>
      </c>
      <c r="F22" s="31" t="s">
        <v>62</v>
      </c>
      <c r="G22" s="31" t="s">
        <v>37</v>
      </c>
      <c r="H22" s="31" t="s">
        <v>60</v>
      </c>
      <c r="I22" s="31" t="s">
        <v>61</v>
      </c>
      <c r="J22" s="31" t="s">
        <v>99</v>
      </c>
      <c r="K22" s="31" t="s">
        <v>68</v>
      </c>
    </row>
    <row r="23" spans="1:11" ht="24.95" customHeight="1" x14ac:dyDescent="0.25">
      <c r="A23" s="95">
        <v>233811000</v>
      </c>
      <c r="B23" s="95">
        <v>-100000000</v>
      </c>
      <c r="C23" s="95">
        <v>0</v>
      </c>
      <c r="D23" s="82">
        <f>+A23+B23-C23</f>
        <v>133811000</v>
      </c>
      <c r="E23" s="82">
        <f>+I20</f>
        <v>90559400</v>
      </c>
      <c r="F23" s="72">
        <f>+E23/D23</f>
        <v>0.67677096800711456</v>
      </c>
      <c r="G23" s="82">
        <f>+I9</f>
        <v>0</v>
      </c>
      <c r="H23" s="82">
        <f>+D23-E23-G23</f>
        <v>43251600</v>
      </c>
      <c r="I23" s="82">
        <f>+J20</f>
        <v>13717000</v>
      </c>
      <c r="J23" s="73">
        <f>+I23/D23</f>
        <v>0.10251025700428217</v>
      </c>
      <c r="K23" s="82">
        <f>+K20</f>
        <v>76842400</v>
      </c>
    </row>
    <row r="24" spans="1:11" x14ac:dyDescent="0.25">
      <c r="A24" s="74">
        <v>1</v>
      </c>
      <c r="B24" s="74">
        <v>2</v>
      </c>
      <c r="C24" s="74">
        <v>3</v>
      </c>
      <c r="D24" s="74" t="s">
        <v>42</v>
      </c>
      <c r="E24" s="74">
        <v>5</v>
      </c>
      <c r="F24" s="74" t="s">
        <v>69</v>
      </c>
      <c r="G24" s="74">
        <v>7</v>
      </c>
      <c r="H24" s="74" t="s">
        <v>70</v>
      </c>
      <c r="I24" s="74">
        <v>9</v>
      </c>
      <c r="J24" s="74" t="s">
        <v>100</v>
      </c>
      <c r="K24" s="74" t="s">
        <v>101</v>
      </c>
    </row>
  </sheetData>
  <mergeCells count="15">
    <mergeCell ref="A5:A6"/>
    <mergeCell ref="B5:B6"/>
    <mergeCell ref="D5:D6"/>
    <mergeCell ref="E5:H5"/>
    <mergeCell ref="G20:H20"/>
    <mergeCell ref="J5:K6"/>
    <mergeCell ref="E6:H6"/>
    <mergeCell ref="G9:H9"/>
    <mergeCell ref="A11:A12"/>
    <mergeCell ref="E11:H11"/>
    <mergeCell ref="I11:I12"/>
    <mergeCell ref="J11:J12"/>
    <mergeCell ref="E12:F12"/>
    <mergeCell ref="G12:H12"/>
    <mergeCell ref="I5:I6"/>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activeCell="M12" sqref="M12"/>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2" ht="12.75" customHeight="1" x14ac:dyDescent="0.25">
      <c r="A1" s="2" t="s">
        <v>98</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34" t="s">
        <v>117</v>
      </c>
      <c r="B3" s="84" t="s">
        <v>118</v>
      </c>
      <c r="C3" s="34"/>
      <c r="D3" s="34"/>
      <c r="E3" s="35"/>
      <c r="F3" s="35"/>
      <c r="G3" s="35"/>
      <c r="H3" s="35"/>
      <c r="I3" s="35"/>
      <c r="J3" s="35"/>
      <c r="K3" s="489" t="s">
        <v>1161</v>
      </c>
    </row>
    <row r="4" spans="1:12" ht="15" customHeight="1" x14ac:dyDescent="0.25">
      <c r="A4" s="187"/>
      <c r="B4" s="188"/>
      <c r="C4" s="187"/>
      <c r="D4" s="187"/>
      <c r="E4" s="189"/>
      <c r="F4" s="189"/>
      <c r="G4" s="189"/>
      <c r="H4" s="189"/>
      <c r="I4" s="189"/>
      <c r="J4" s="189"/>
      <c r="K4" s="190"/>
    </row>
    <row r="5" spans="1:12" x14ac:dyDescent="0.25">
      <c r="A5" s="529" t="s">
        <v>28</v>
      </c>
      <c r="B5" s="531" t="s">
        <v>131</v>
      </c>
      <c r="C5" s="39"/>
      <c r="D5" s="529" t="s">
        <v>71</v>
      </c>
      <c r="E5" s="533" t="s">
        <v>37</v>
      </c>
      <c r="F5" s="534"/>
      <c r="G5" s="534"/>
      <c r="H5" s="535"/>
      <c r="I5" s="529" t="s">
        <v>31</v>
      </c>
      <c r="J5" s="536" t="s">
        <v>41</v>
      </c>
      <c r="K5" s="537"/>
    </row>
    <row r="6" spans="1:12" x14ac:dyDescent="0.25">
      <c r="A6" s="530"/>
      <c r="B6" s="532"/>
      <c r="C6" s="40"/>
      <c r="D6" s="530"/>
      <c r="E6" s="533" t="s">
        <v>33</v>
      </c>
      <c r="F6" s="534"/>
      <c r="G6" s="534"/>
      <c r="H6" s="535"/>
      <c r="I6" s="530"/>
      <c r="J6" s="538"/>
      <c r="K6" s="539"/>
    </row>
    <row r="7" spans="1:12" ht="15" customHeight="1" x14ac:dyDescent="0.25">
      <c r="A7" s="48">
        <v>42783</v>
      </c>
      <c r="B7" s="44" t="s">
        <v>165</v>
      </c>
      <c r="C7" s="49"/>
      <c r="D7" s="50">
        <v>276</v>
      </c>
      <c r="E7" s="44" t="s">
        <v>193</v>
      </c>
      <c r="F7" s="37"/>
      <c r="G7" s="51"/>
      <c r="H7" s="52"/>
      <c r="I7" s="108">
        <f>2200000-163880-275000-74180-100000</f>
        <v>1586940</v>
      </c>
      <c r="J7" s="44" t="s">
        <v>196</v>
      </c>
      <c r="K7" s="181"/>
    </row>
    <row r="8" spans="1:12" ht="15" customHeight="1" x14ac:dyDescent="0.25">
      <c r="A8" s="48">
        <v>43068</v>
      </c>
      <c r="B8" s="44" t="s">
        <v>1203</v>
      </c>
      <c r="C8" s="49"/>
      <c r="D8" s="50">
        <v>1025</v>
      </c>
      <c r="E8" s="53" t="s">
        <v>1204</v>
      </c>
      <c r="F8" s="37"/>
      <c r="G8" s="51"/>
      <c r="H8" s="52"/>
      <c r="I8" s="108">
        <v>1354900</v>
      </c>
      <c r="J8" s="44"/>
      <c r="K8" s="181"/>
    </row>
    <row r="9" spans="1:12" ht="12.75" customHeight="1" x14ac:dyDescent="0.25">
      <c r="A9" s="69"/>
      <c r="B9" s="53"/>
      <c r="C9" s="54"/>
      <c r="D9" s="53"/>
      <c r="E9" s="53"/>
      <c r="F9" s="38"/>
      <c r="G9" s="159"/>
      <c r="H9" s="58"/>
      <c r="I9" s="94"/>
      <c r="J9" s="53"/>
      <c r="K9" s="154"/>
    </row>
    <row r="10" spans="1:12" x14ac:dyDescent="0.25">
      <c r="A10" s="53"/>
      <c r="B10" s="38"/>
      <c r="C10" s="38"/>
      <c r="D10" s="38"/>
      <c r="E10" s="38"/>
      <c r="F10" s="38"/>
      <c r="G10" s="527" t="s">
        <v>132</v>
      </c>
      <c r="H10" s="528"/>
      <c r="I10" s="148">
        <f>SUM(I7:I9)</f>
        <v>2941840</v>
      </c>
      <c r="J10" s="57"/>
      <c r="K10" s="58"/>
    </row>
    <row r="11" spans="1:12" ht="12.75" customHeight="1" x14ac:dyDescent="0.25">
      <c r="A11" s="3"/>
      <c r="B11" s="3"/>
      <c r="C11" s="3"/>
      <c r="D11" s="3"/>
      <c r="E11" s="3"/>
      <c r="F11" s="3"/>
      <c r="G11" s="3"/>
      <c r="H11" s="3"/>
      <c r="I11" s="166"/>
      <c r="J11" s="37"/>
      <c r="K11" s="49"/>
    </row>
    <row r="12" spans="1:12" x14ac:dyDescent="0.25">
      <c r="A12" s="529" t="s">
        <v>28</v>
      </c>
      <c r="B12" s="30" t="s">
        <v>38</v>
      </c>
      <c r="C12" s="60" t="s">
        <v>34</v>
      </c>
      <c r="D12" s="59" t="s">
        <v>34</v>
      </c>
      <c r="E12" s="533" t="s">
        <v>40</v>
      </c>
      <c r="F12" s="534"/>
      <c r="G12" s="534"/>
      <c r="H12" s="535"/>
      <c r="I12" s="529" t="s">
        <v>31</v>
      </c>
      <c r="J12" s="529" t="s">
        <v>29</v>
      </c>
      <c r="K12" s="60" t="s">
        <v>56</v>
      </c>
    </row>
    <row r="13" spans="1:12" x14ac:dyDescent="0.25">
      <c r="A13" s="530"/>
      <c r="B13" s="61" t="s">
        <v>39</v>
      </c>
      <c r="C13" s="61" t="s">
        <v>36</v>
      </c>
      <c r="D13" s="61" t="s">
        <v>35</v>
      </c>
      <c r="E13" s="533" t="s">
        <v>33</v>
      </c>
      <c r="F13" s="535"/>
      <c r="G13" s="533" t="s">
        <v>32</v>
      </c>
      <c r="H13" s="535"/>
      <c r="I13" s="530"/>
      <c r="J13" s="530"/>
      <c r="K13" s="61" t="s">
        <v>57</v>
      </c>
    </row>
    <row r="14" spans="1:12" ht="12.75" customHeight="1" x14ac:dyDescent="0.25">
      <c r="A14" s="41"/>
      <c r="B14" s="41"/>
      <c r="C14" s="41"/>
      <c r="D14" s="41"/>
      <c r="E14" s="44"/>
      <c r="F14" s="49"/>
      <c r="G14" s="44"/>
      <c r="H14" s="43"/>
      <c r="I14" s="62"/>
      <c r="J14" s="62"/>
      <c r="K14" s="62"/>
    </row>
    <row r="15" spans="1:12" x14ac:dyDescent="0.25">
      <c r="A15" s="48">
        <v>42782</v>
      </c>
      <c r="B15" s="37" t="s">
        <v>427</v>
      </c>
      <c r="C15" s="64">
        <v>190</v>
      </c>
      <c r="D15" s="64">
        <v>219</v>
      </c>
      <c r="E15" s="44" t="s">
        <v>211</v>
      </c>
      <c r="F15" s="37"/>
      <c r="G15" s="44" t="s">
        <v>212</v>
      </c>
      <c r="H15" s="165"/>
      <c r="I15" s="108">
        <v>172363</v>
      </c>
      <c r="J15" s="108">
        <v>172363</v>
      </c>
      <c r="K15" s="78">
        <f t="shared" ref="K15:K26" si="0">+I15-J15</f>
        <v>0</v>
      </c>
      <c r="L15"/>
    </row>
    <row r="16" spans="1:12" x14ac:dyDescent="0.25">
      <c r="A16" s="48">
        <v>42829</v>
      </c>
      <c r="B16" s="63" t="s">
        <v>428</v>
      </c>
      <c r="C16" s="64">
        <v>123</v>
      </c>
      <c r="D16" s="64">
        <v>501</v>
      </c>
      <c r="E16" s="44" t="s">
        <v>338</v>
      </c>
      <c r="F16" s="66"/>
      <c r="G16" s="65" t="s">
        <v>341</v>
      </c>
      <c r="H16" s="66"/>
      <c r="I16" s="75">
        <v>3313742</v>
      </c>
      <c r="J16" s="75">
        <v>3313742</v>
      </c>
      <c r="K16" s="78">
        <f t="shared" si="0"/>
        <v>0</v>
      </c>
      <c r="L16"/>
    </row>
    <row r="17" spans="1:12" x14ac:dyDescent="0.25">
      <c r="A17" s="109">
        <v>42829</v>
      </c>
      <c r="B17" s="63" t="s">
        <v>428</v>
      </c>
      <c r="C17" s="64">
        <v>123</v>
      </c>
      <c r="D17" s="64">
        <v>502</v>
      </c>
      <c r="E17" s="44" t="s">
        <v>339</v>
      </c>
      <c r="F17" s="66"/>
      <c r="G17" s="65" t="s">
        <v>341</v>
      </c>
      <c r="H17" s="66"/>
      <c r="I17" s="108">
        <v>10566131</v>
      </c>
      <c r="J17" s="108">
        <v>10566131</v>
      </c>
      <c r="K17" s="78">
        <f t="shared" si="0"/>
        <v>0</v>
      </c>
      <c r="L17"/>
    </row>
    <row r="18" spans="1:12" x14ac:dyDescent="0.25">
      <c r="A18" s="109">
        <v>42845</v>
      </c>
      <c r="B18" s="63" t="s">
        <v>429</v>
      </c>
      <c r="C18" s="50">
        <v>201</v>
      </c>
      <c r="D18" s="64">
        <v>551</v>
      </c>
      <c r="E18" s="44" t="s">
        <v>340</v>
      </c>
      <c r="F18" s="66"/>
      <c r="G18" s="65" t="s">
        <v>342</v>
      </c>
      <c r="H18" s="66"/>
      <c r="I18" s="235">
        <v>6033492</v>
      </c>
      <c r="J18" s="75">
        <v>6033492</v>
      </c>
      <c r="K18" s="78">
        <f t="shared" si="0"/>
        <v>0</v>
      </c>
      <c r="L18"/>
    </row>
    <row r="19" spans="1:12" x14ac:dyDescent="0.25">
      <c r="A19" s="109">
        <v>42867</v>
      </c>
      <c r="B19" s="63" t="s">
        <v>430</v>
      </c>
      <c r="C19" s="64">
        <v>508</v>
      </c>
      <c r="D19" s="64">
        <v>656</v>
      </c>
      <c r="E19" s="164" t="s">
        <v>409</v>
      </c>
      <c r="F19" s="66"/>
      <c r="G19" s="65" t="s">
        <v>410</v>
      </c>
      <c r="H19" s="66"/>
      <c r="I19" s="75">
        <v>5318294</v>
      </c>
      <c r="J19" s="75">
        <v>5264502</v>
      </c>
      <c r="K19" s="78">
        <f t="shared" si="0"/>
        <v>53792</v>
      </c>
    </row>
    <row r="20" spans="1:12" x14ac:dyDescent="0.25">
      <c r="A20" s="109">
        <v>42874</v>
      </c>
      <c r="B20" s="63" t="s">
        <v>426</v>
      </c>
      <c r="C20" s="64">
        <v>610</v>
      </c>
      <c r="D20" s="64">
        <v>692</v>
      </c>
      <c r="E20" s="164" t="s">
        <v>431</v>
      </c>
      <c r="F20" s="66"/>
      <c r="G20" s="65" t="s">
        <v>432</v>
      </c>
      <c r="H20" s="66"/>
      <c r="I20" s="75">
        <v>10710000</v>
      </c>
      <c r="J20" s="75">
        <v>10710000</v>
      </c>
      <c r="K20" s="78">
        <f t="shared" si="0"/>
        <v>0</v>
      </c>
    </row>
    <row r="21" spans="1:12" x14ac:dyDescent="0.25">
      <c r="A21" s="109">
        <v>42899</v>
      </c>
      <c r="B21" s="63" t="s">
        <v>600</v>
      </c>
      <c r="C21" s="64">
        <v>625</v>
      </c>
      <c r="D21" s="64">
        <v>750</v>
      </c>
      <c r="E21" s="164" t="s">
        <v>601</v>
      </c>
      <c r="F21" s="66"/>
      <c r="G21" s="65" t="s">
        <v>602</v>
      </c>
      <c r="H21" s="66"/>
      <c r="I21" s="75">
        <v>21703030</v>
      </c>
      <c r="J21" s="75">
        <v>21235575</v>
      </c>
      <c r="K21" s="78">
        <f t="shared" si="0"/>
        <v>467455</v>
      </c>
    </row>
    <row r="22" spans="1:12" x14ac:dyDescent="0.25">
      <c r="A22" s="109">
        <v>42909</v>
      </c>
      <c r="B22" s="63" t="s">
        <v>417</v>
      </c>
      <c r="C22" s="64">
        <v>276</v>
      </c>
      <c r="D22" s="64">
        <v>797</v>
      </c>
      <c r="E22" s="164" t="s">
        <v>545</v>
      </c>
      <c r="F22" s="66"/>
      <c r="G22" s="65" t="s">
        <v>96</v>
      </c>
      <c r="H22" s="66"/>
      <c r="I22" s="75">
        <v>163880</v>
      </c>
      <c r="J22" s="75">
        <v>163880</v>
      </c>
      <c r="K22" s="78">
        <f t="shared" si="0"/>
        <v>0</v>
      </c>
    </row>
    <row r="23" spans="1:12" x14ac:dyDescent="0.25">
      <c r="A23" s="109">
        <v>42928</v>
      </c>
      <c r="B23" s="63" t="s">
        <v>672</v>
      </c>
      <c r="C23" s="64">
        <v>702</v>
      </c>
      <c r="D23" s="64">
        <v>828</v>
      </c>
      <c r="E23" s="164" t="s">
        <v>673</v>
      </c>
      <c r="F23" s="66"/>
      <c r="G23" s="164" t="s">
        <v>674</v>
      </c>
      <c r="H23" s="66"/>
      <c r="I23" s="75">
        <v>41582963</v>
      </c>
      <c r="J23" s="75">
        <v>41582963</v>
      </c>
      <c r="K23" s="78">
        <f t="shared" si="0"/>
        <v>0</v>
      </c>
    </row>
    <row r="24" spans="1:12" x14ac:dyDescent="0.25">
      <c r="A24" s="109">
        <v>42955</v>
      </c>
      <c r="B24" s="63" t="s">
        <v>748</v>
      </c>
      <c r="C24" s="64">
        <v>749</v>
      </c>
      <c r="D24" s="64">
        <v>878</v>
      </c>
      <c r="E24" s="164" t="s">
        <v>686</v>
      </c>
      <c r="F24" s="66"/>
      <c r="G24" s="164" t="s">
        <v>341</v>
      </c>
      <c r="H24" s="66"/>
      <c r="I24" s="75">
        <v>19560</v>
      </c>
      <c r="J24" s="75">
        <v>19560</v>
      </c>
      <c r="K24" s="78">
        <f t="shared" si="0"/>
        <v>0</v>
      </c>
    </row>
    <row r="25" spans="1:12" x14ac:dyDescent="0.25">
      <c r="A25" s="109">
        <v>42955</v>
      </c>
      <c r="B25" s="63" t="s">
        <v>749</v>
      </c>
      <c r="C25" s="64">
        <v>750</v>
      </c>
      <c r="D25" s="64">
        <v>879</v>
      </c>
      <c r="E25" s="164" t="s">
        <v>687</v>
      </c>
      <c r="F25" s="66"/>
      <c r="G25" s="164" t="s">
        <v>342</v>
      </c>
      <c r="H25" s="66"/>
      <c r="I25" s="75">
        <v>17936</v>
      </c>
      <c r="J25" s="75">
        <v>17936</v>
      </c>
      <c r="K25" s="78">
        <f t="shared" si="0"/>
        <v>0</v>
      </c>
    </row>
    <row r="26" spans="1:12" x14ac:dyDescent="0.25">
      <c r="A26" s="109">
        <v>42983</v>
      </c>
      <c r="B26" s="63" t="s">
        <v>417</v>
      </c>
      <c r="C26" s="64">
        <v>276</v>
      </c>
      <c r="D26" s="64">
        <v>954</v>
      </c>
      <c r="E26" t="s">
        <v>807</v>
      </c>
      <c r="F26" s="66"/>
      <c r="G26" s="164" t="s">
        <v>96</v>
      </c>
      <c r="H26" s="66"/>
      <c r="I26" s="75">
        <v>275000</v>
      </c>
      <c r="J26" s="75">
        <v>275000</v>
      </c>
      <c r="K26" s="78">
        <f t="shared" si="0"/>
        <v>0</v>
      </c>
    </row>
    <row r="27" spans="1:12" x14ac:dyDescent="0.25">
      <c r="A27" s="109">
        <v>43010</v>
      </c>
      <c r="B27" s="63" t="s">
        <v>1064</v>
      </c>
      <c r="C27" s="64">
        <v>825</v>
      </c>
      <c r="D27" s="64">
        <v>1119</v>
      </c>
      <c r="E27" t="s">
        <v>1065</v>
      </c>
      <c r="F27" s="66"/>
      <c r="G27" s="164" t="s">
        <v>1066</v>
      </c>
      <c r="H27" s="66"/>
      <c r="I27" s="75">
        <v>17826372</v>
      </c>
      <c r="J27" s="75">
        <v>17826372</v>
      </c>
      <c r="K27" s="78">
        <v>0</v>
      </c>
    </row>
    <row r="28" spans="1:12" x14ac:dyDescent="0.25">
      <c r="A28" s="109">
        <v>43026</v>
      </c>
      <c r="B28" s="63" t="s">
        <v>417</v>
      </c>
      <c r="C28" s="64">
        <v>276</v>
      </c>
      <c r="D28" s="64">
        <v>1166</v>
      </c>
      <c r="E28" t="s">
        <v>1074</v>
      </c>
      <c r="F28" s="66"/>
      <c r="G28" s="164" t="s">
        <v>96</v>
      </c>
      <c r="H28" s="66"/>
      <c r="I28" s="75">
        <v>74180</v>
      </c>
      <c r="J28" s="75">
        <v>74180</v>
      </c>
      <c r="K28" s="78">
        <v>0</v>
      </c>
    </row>
    <row r="29" spans="1:12" x14ac:dyDescent="0.25">
      <c r="A29" s="109">
        <v>43033</v>
      </c>
      <c r="B29" s="63" t="s">
        <v>417</v>
      </c>
      <c r="C29" s="64">
        <v>276</v>
      </c>
      <c r="D29" s="64">
        <v>1209</v>
      </c>
      <c r="E29" t="s">
        <v>1137</v>
      </c>
      <c r="F29" s="66"/>
      <c r="G29" s="164" t="s">
        <v>96</v>
      </c>
      <c r="H29" s="66"/>
      <c r="I29" s="75">
        <v>100000</v>
      </c>
      <c r="J29" s="75">
        <v>100000</v>
      </c>
      <c r="K29" s="78">
        <v>0</v>
      </c>
    </row>
    <row r="30" spans="1:12" x14ac:dyDescent="0.25">
      <c r="A30" s="109">
        <v>43061</v>
      </c>
      <c r="B30" s="63" t="s">
        <v>1200</v>
      </c>
      <c r="C30" s="64">
        <v>990</v>
      </c>
      <c r="D30" s="64">
        <v>1321</v>
      </c>
      <c r="E30" s="285" t="s">
        <v>1173</v>
      </c>
      <c r="F30" s="66"/>
      <c r="G30" s="164" t="s">
        <v>1201</v>
      </c>
      <c r="H30" s="66"/>
      <c r="I30" s="75">
        <v>357080000</v>
      </c>
      <c r="J30" s="75">
        <v>357080000</v>
      </c>
      <c r="K30" s="78"/>
    </row>
    <row r="31" spans="1:12" ht="12.75" customHeight="1" x14ac:dyDescent="0.25">
      <c r="A31" s="48"/>
      <c r="B31" s="63"/>
      <c r="C31" s="41"/>
      <c r="D31" s="41"/>
      <c r="E31" s="44"/>
      <c r="F31" s="49"/>
      <c r="G31" s="44"/>
      <c r="H31" s="49"/>
      <c r="I31" s="94" t="s">
        <v>130</v>
      </c>
      <c r="J31" s="94"/>
      <c r="K31" s="94"/>
    </row>
    <row r="32" spans="1:12" x14ac:dyDescent="0.25">
      <c r="A32" s="55"/>
      <c r="B32" s="56"/>
      <c r="C32" s="56"/>
      <c r="D32" s="56"/>
      <c r="E32" s="56"/>
      <c r="F32" s="56"/>
      <c r="G32" s="527" t="s">
        <v>132</v>
      </c>
      <c r="H32" s="528"/>
      <c r="I32" s="83">
        <f>SUM(I15:I31)</f>
        <v>474956943</v>
      </c>
      <c r="J32" s="83">
        <f>SUM(J15:J31)</f>
        <v>474435696</v>
      </c>
      <c r="K32" s="83">
        <f>SUM(K15:K31)</f>
        <v>521247</v>
      </c>
    </row>
    <row r="33" spans="1:11" ht="12.75" customHeight="1" x14ac:dyDescent="0.25">
      <c r="A33" s="56"/>
      <c r="B33" s="56"/>
      <c r="C33" s="56"/>
      <c r="D33" s="56"/>
      <c r="E33" s="56"/>
      <c r="F33" s="56"/>
      <c r="G33" s="121"/>
      <c r="H33" s="121"/>
      <c r="I33" s="167"/>
      <c r="J33" s="167"/>
      <c r="K33" s="167"/>
    </row>
    <row r="34" spans="1:11" ht="24.95" customHeight="1" x14ac:dyDescent="0.25">
      <c r="A34" s="31" t="s">
        <v>58</v>
      </c>
      <c r="B34" s="31" t="s">
        <v>133</v>
      </c>
      <c r="C34" s="31" t="s">
        <v>30</v>
      </c>
      <c r="D34" s="32" t="s">
        <v>59</v>
      </c>
      <c r="E34" s="31" t="s">
        <v>40</v>
      </c>
      <c r="F34" s="31" t="s">
        <v>62</v>
      </c>
      <c r="G34" s="31" t="s">
        <v>37</v>
      </c>
      <c r="H34" s="31" t="s">
        <v>60</v>
      </c>
      <c r="I34" s="31" t="s">
        <v>61</v>
      </c>
      <c r="J34" s="31" t="s">
        <v>99</v>
      </c>
      <c r="K34" s="31" t="s">
        <v>68</v>
      </c>
    </row>
    <row r="35" spans="1:11" ht="24.95" customHeight="1" x14ac:dyDescent="0.25">
      <c r="A35" s="95">
        <v>200000000</v>
      </c>
      <c r="B35" s="95">
        <v>300000000</v>
      </c>
      <c r="C35" s="95">
        <v>0</v>
      </c>
      <c r="D35" s="82">
        <f>+A35+B35-C35</f>
        <v>500000000</v>
      </c>
      <c r="E35" s="82">
        <f>+I32</f>
        <v>474956943</v>
      </c>
      <c r="F35" s="72">
        <f>+E35/D35</f>
        <v>0.94991388600000004</v>
      </c>
      <c r="G35" s="82">
        <f>+I10</f>
        <v>2941840</v>
      </c>
      <c r="H35" s="82">
        <f>+D35-E35-G35</f>
        <v>22101217</v>
      </c>
      <c r="I35" s="82">
        <f>+J32</f>
        <v>474435696</v>
      </c>
      <c r="J35" s="73">
        <f>+I35/D35</f>
        <v>0.94887139200000004</v>
      </c>
      <c r="K35" s="82">
        <f>+K32</f>
        <v>521247</v>
      </c>
    </row>
    <row r="36" spans="1:11" x14ac:dyDescent="0.25">
      <c r="A36" s="74">
        <v>1</v>
      </c>
      <c r="B36" s="74">
        <v>2</v>
      </c>
      <c r="C36" s="74">
        <v>3</v>
      </c>
      <c r="D36" s="74" t="s">
        <v>42</v>
      </c>
      <c r="E36" s="74">
        <v>5</v>
      </c>
      <c r="F36" s="74" t="s">
        <v>69</v>
      </c>
      <c r="G36" s="74">
        <v>7</v>
      </c>
      <c r="H36" s="74" t="s">
        <v>70</v>
      </c>
      <c r="I36" s="74">
        <v>9</v>
      </c>
      <c r="J36" s="74" t="s">
        <v>100</v>
      </c>
      <c r="K36" s="74" t="s">
        <v>101</v>
      </c>
    </row>
  </sheetData>
  <mergeCells count="15">
    <mergeCell ref="A5:A6"/>
    <mergeCell ref="B5:B6"/>
    <mergeCell ref="D5:D6"/>
    <mergeCell ref="E5:H5"/>
    <mergeCell ref="G32:H32"/>
    <mergeCell ref="J5:K6"/>
    <mergeCell ref="E6:H6"/>
    <mergeCell ref="G10:H10"/>
    <mergeCell ref="A12:A13"/>
    <mergeCell ref="E12:H12"/>
    <mergeCell ref="I12:I13"/>
    <mergeCell ref="J12:J13"/>
    <mergeCell ref="E13:F13"/>
    <mergeCell ref="G13:H13"/>
    <mergeCell ref="I5:I6"/>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I12" sqref="I12"/>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119</v>
      </c>
      <c r="B3" s="84" t="s">
        <v>4</v>
      </c>
      <c r="C3" s="34"/>
      <c r="D3" s="34"/>
      <c r="E3" s="35"/>
      <c r="F3" s="35"/>
      <c r="G3" s="35"/>
      <c r="H3" s="35"/>
      <c r="I3" s="35"/>
      <c r="J3" s="35"/>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41"/>
      <c r="B7" s="42"/>
      <c r="C7" s="43"/>
      <c r="D7" s="44"/>
      <c r="E7" s="42"/>
      <c r="F7" s="45"/>
      <c r="G7" s="46"/>
      <c r="H7" s="47"/>
      <c r="I7" s="43"/>
      <c r="J7" s="42"/>
      <c r="K7" s="43"/>
    </row>
    <row r="8" spans="1:11" x14ac:dyDescent="0.25">
      <c r="A8" s="48">
        <v>42783</v>
      </c>
      <c r="B8" s="44" t="s">
        <v>165</v>
      </c>
      <c r="C8" s="96"/>
      <c r="D8" s="50">
        <v>276</v>
      </c>
      <c r="E8" s="44" t="s">
        <v>193</v>
      </c>
      <c r="F8" s="37"/>
      <c r="G8" s="51"/>
      <c r="H8" s="52"/>
      <c r="I8" s="75">
        <f>1000000-135550-72240-94517-100840-108940</f>
        <v>487913</v>
      </c>
      <c r="J8" s="44" t="s">
        <v>196</v>
      </c>
      <c r="K8" s="49"/>
    </row>
    <row r="9" spans="1:11" x14ac:dyDescent="0.25">
      <c r="A9" s="48">
        <v>43056</v>
      </c>
      <c r="B9" s="44" t="s">
        <v>165</v>
      </c>
      <c r="C9" s="49"/>
      <c r="D9" s="50">
        <v>996</v>
      </c>
      <c r="E9" s="44" t="s">
        <v>1198</v>
      </c>
      <c r="F9" s="37"/>
      <c r="G9" s="51"/>
      <c r="H9" s="52"/>
      <c r="I9" s="75">
        <v>7377170</v>
      </c>
      <c r="J9" s="44"/>
      <c r="K9" s="49"/>
    </row>
    <row r="10" spans="1:11" x14ac:dyDescent="0.25">
      <c r="A10" s="48">
        <v>43063</v>
      </c>
      <c r="B10" s="44" t="s">
        <v>165</v>
      </c>
      <c r="C10" s="49"/>
      <c r="D10" s="50">
        <v>1009</v>
      </c>
      <c r="E10" s="44" t="s">
        <v>1205</v>
      </c>
      <c r="F10" s="37"/>
      <c r="G10" s="51"/>
      <c r="H10" s="52"/>
      <c r="I10" s="75">
        <v>783368</v>
      </c>
      <c r="J10" s="44"/>
      <c r="K10" s="49"/>
    </row>
    <row r="11" spans="1:11" ht="12.75" customHeight="1" x14ac:dyDescent="0.25">
      <c r="A11" s="48"/>
      <c r="B11" s="53"/>
      <c r="C11" s="54"/>
      <c r="D11" s="44"/>
      <c r="E11" s="44"/>
      <c r="F11" s="37"/>
      <c r="G11" s="51"/>
      <c r="H11" s="52"/>
      <c r="I11" s="76"/>
      <c r="J11" s="44"/>
      <c r="K11" s="49"/>
    </row>
    <row r="12" spans="1:11" x14ac:dyDescent="0.25">
      <c r="A12" s="55"/>
      <c r="B12" s="56"/>
      <c r="C12" s="56"/>
      <c r="D12" s="56"/>
      <c r="E12" s="56"/>
      <c r="F12" s="56"/>
      <c r="G12" s="527" t="s">
        <v>132</v>
      </c>
      <c r="H12" s="528"/>
      <c r="I12" s="77">
        <f>SUM(I8:I11)</f>
        <v>8648451</v>
      </c>
      <c r="J12" s="57"/>
      <c r="K12" s="58"/>
    </row>
    <row r="13" spans="1:11" ht="12.75" customHeight="1" x14ac:dyDescent="0.25">
      <c r="A13" s="3"/>
      <c r="B13" s="3"/>
      <c r="C13" s="3"/>
      <c r="D13" s="3"/>
      <c r="E13" s="3"/>
      <c r="F13" s="3"/>
      <c r="G13" s="3"/>
      <c r="H13" s="3"/>
      <c r="I13" s="22"/>
      <c r="J13" s="37"/>
      <c r="K13" s="49"/>
    </row>
    <row r="14" spans="1:11" x14ac:dyDescent="0.25">
      <c r="A14" s="529" t="s">
        <v>28</v>
      </c>
      <c r="B14" s="30" t="s">
        <v>38</v>
      </c>
      <c r="C14" s="60" t="s">
        <v>34</v>
      </c>
      <c r="D14" s="59" t="s">
        <v>34</v>
      </c>
      <c r="E14" s="533" t="s">
        <v>40</v>
      </c>
      <c r="F14" s="534"/>
      <c r="G14" s="534"/>
      <c r="H14" s="535"/>
      <c r="I14" s="529" t="s">
        <v>31</v>
      </c>
      <c r="J14" s="529" t="s">
        <v>29</v>
      </c>
      <c r="K14" s="60" t="s">
        <v>56</v>
      </c>
    </row>
    <row r="15" spans="1:11" x14ac:dyDescent="0.25">
      <c r="A15" s="530"/>
      <c r="B15" s="61" t="s">
        <v>39</v>
      </c>
      <c r="C15" s="61" t="s">
        <v>36</v>
      </c>
      <c r="D15" s="61" t="s">
        <v>35</v>
      </c>
      <c r="E15" s="533" t="s">
        <v>33</v>
      </c>
      <c r="F15" s="535"/>
      <c r="G15" s="533" t="s">
        <v>32</v>
      </c>
      <c r="H15" s="535"/>
      <c r="I15" s="530"/>
      <c r="J15" s="530"/>
      <c r="K15" s="61" t="s">
        <v>57</v>
      </c>
    </row>
    <row r="16" spans="1:11" ht="12.75" customHeight="1" x14ac:dyDescent="0.25">
      <c r="A16" s="41"/>
      <c r="B16" s="41"/>
      <c r="C16" s="41"/>
      <c r="D16" s="41"/>
      <c r="E16" s="44"/>
      <c r="F16" s="49"/>
      <c r="G16" s="44"/>
      <c r="H16" s="49"/>
      <c r="I16" s="62"/>
      <c r="J16" s="62"/>
      <c r="K16" s="62"/>
    </row>
    <row r="17" spans="1:11" x14ac:dyDescent="0.25">
      <c r="A17" s="89">
        <v>42874</v>
      </c>
      <c r="B17" s="90" t="s">
        <v>433</v>
      </c>
      <c r="C17" s="91">
        <v>276</v>
      </c>
      <c r="D17" s="91">
        <v>686</v>
      </c>
      <c r="E17" s="44" t="s">
        <v>416</v>
      </c>
      <c r="F17" s="87"/>
      <c r="G17" s="88" t="s">
        <v>96</v>
      </c>
      <c r="H17" s="87"/>
      <c r="I17" s="101">
        <v>135550</v>
      </c>
      <c r="J17" s="245">
        <v>135550</v>
      </c>
      <c r="K17" s="78">
        <f>+I17-J17</f>
        <v>0</v>
      </c>
    </row>
    <row r="18" spans="1:11" ht="12.75" customHeight="1" x14ac:dyDescent="0.25">
      <c r="A18" s="89">
        <v>42909</v>
      </c>
      <c r="B18" s="90" t="s">
        <v>417</v>
      </c>
      <c r="C18" s="91">
        <v>276</v>
      </c>
      <c r="D18" s="91">
        <v>797</v>
      </c>
      <c r="E18" t="s">
        <v>545</v>
      </c>
      <c r="F18" s="87"/>
      <c r="G18" s="88" t="s">
        <v>96</v>
      </c>
      <c r="H18" s="87"/>
      <c r="I18" s="244">
        <v>72240</v>
      </c>
      <c r="J18" s="237">
        <v>72240</v>
      </c>
      <c r="K18" s="78">
        <f>+I18-J18</f>
        <v>0</v>
      </c>
    </row>
    <row r="19" spans="1:11" ht="12.75" customHeight="1" x14ac:dyDescent="0.25">
      <c r="A19" s="89">
        <v>42962</v>
      </c>
      <c r="B19" s="90" t="s">
        <v>417</v>
      </c>
      <c r="C19" s="91">
        <v>276</v>
      </c>
      <c r="D19" s="91">
        <v>895</v>
      </c>
      <c r="E19" t="s">
        <v>710</v>
      </c>
      <c r="F19" s="87"/>
      <c r="G19" s="88" t="s">
        <v>96</v>
      </c>
      <c r="H19" s="87"/>
      <c r="I19" s="244">
        <v>94517</v>
      </c>
      <c r="J19" s="244">
        <v>94517</v>
      </c>
      <c r="K19" s="78">
        <f>+I19-J19</f>
        <v>0</v>
      </c>
    </row>
    <row r="20" spans="1:11" ht="12.75" customHeight="1" x14ac:dyDescent="0.25">
      <c r="A20" s="89">
        <v>42983</v>
      </c>
      <c r="B20" s="90" t="s">
        <v>417</v>
      </c>
      <c r="C20" s="91">
        <v>276</v>
      </c>
      <c r="D20" s="91">
        <v>954</v>
      </c>
      <c r="E20" t="s">
        <v>807</v>
      </c>
      <c r="F20" s="87"/>
      <c r="G20" s="88" t="s">
        <v>96</v>
      </c>
      <c r="H20" s="87"/>
      <c r="I20" s="244">
        <v>100840</v>
      </c>
      <c r="J20" s="244">
        <v>100840</v>
      </c>
      <c r="K20" s="78">
        <v>0</v>
      </c>
    </row>
    <row r="21" spans="1:11" ht="12.75" customHeight="1" x14ac:dyDescent="0.25">
      <c r="A21" s="89">
        <v>43026</v>
      </c>
      <c r="B21" s="90" t="s">
        <v>417</v>
      </c>
      <c r="C21" s="91">
        <v>276</v>
      </c>
      <c r="D21" s="91">
        <v>1166</v>
      </c>
      <c r="E21" t="s">
        <v>1074</v>
      </c>
      <c r="F21" s="87"/>
      <c r="G21" s="88" t="s">
        <v>96</v>
      </c>
      <c r="H21" s="87"/>
      <c r="I21" s="244">
        <v>108940</v>
      </c>
      <c r="J21" s="244">
        <v>108940</v>
      </c>
      <c r="K21" s="78">
        <v>0</v>
      </c>
    </row>
    <row r="22" spans="1:11" ht="12.75" customHeight="1" x14ac:dyDescent="0.25">
      <c r="A22" s="89"/>
      <c r="B22" s="90"/>
      <c r="C22" s="91"/>
      <c r="D22" s="91"/>
      <c r="E22"/>
      <c r="F22" s="87"/>
      <c r="G22" s="88"/>
      <c r="H22" s="87"/>
      <c r="I22" s="244"/>
      <c r="J22" s="244"/>
      <c r="K22" s="78"/>
    </row>
    <row r="23" spans="1:11" ht="12.75" customHeight="1" x14ac:dyDescent="0.25">
      <c r="A23" s="48"/>
      <c r="B23" s="63"/>
      <c r="C23" s="41"/>
      <c r="D23" s="41"/>
      <c r="E23" s="44"/>
      <c r="F23" s="49"/>
      <c r="G23" s="44"/>
      <c r="H23" s="49"/>
      <c r="I23" s="94"/>
      <c r="J23" s="94"/>
      <c r="K23" s="94"/>
    </row>
    <row r="24" spans="1:11" x14ac:dyDescent="0.25">
      <c r="A24" s="55"/>
      <c r="B24" s="56"/>
      <c r="C24" s="56"/>
      <c r="D24" s="56"/>
      <c r="E24" s="56"/>
      <c r="F24" s="56"/>
      <c r="G24" s="527" t="s">
        <v>132</v>
      </c>
      <c r="H24" s="528"/>
      <c r="I24" s="83">
        <f>SUM(I17:I23)</f>
        <v>512087</v>
      </c>
      <c r="J24" s="83">
        <f>SUM(J17:J23)</f>
        <v>512087</v>
      </c>
      <c r="K24" s="83">
        <f>SUM(K17:K23)</f>
        <v>0</v>
      </c>
    </row>
    <row r="25" spans="1:11" ht="12.75" customHeight="1" x14ac:dyDescent="0.25">
      <c r="A25" s="3"/>
      <c r="B25" s="3"/>
      <c r="C25" s="3"/>
      <c r="D25" s="3"/>
      <c r="E25" s="3"/>
      <c r="F25" s="3"/>
      <c r="G25" s="3"/>
      <c r="H25" s="3"/>
      <c r="I25" s="3"/>
      <c r="J25" s="37"/>
      <c r="K25" s="56"/>
    </row>
    <row r="26" spans="1:11" ht="24.95" customHeight="1" x14ac:dyDescent="0.25">
      <c r="A26" s="31" t="s">
        <v>58</v>
      </c>
      <c r="B26" s="31" t="s">
        <v>133</v>
      </c>
      <c r="C26" s="31" t="s">
        <v>30</v>
      </c>
      <c r="D26" s="32" t="s">
        <v>59</v>
      </c>
      <c r="E26" s="31" t="s">
        <v>40</v>
      </c>
      <c r="F26" s="31" t="s">
        <v>62</v>
      </c>
      <c r="G26" s="31" t="s">
        <v>37</v>
      </c>
      <c r="H26" s="31" t="s">
        <v>60</v>
      </c>
      <c r="I26" s="31" t="s">
        <v>61</v>
      </c>
      <c r="J26" s="31" t="s">
        <v>99</v>
      </c>
      <c r="K26" s="31" t="s">
        <v>68</v>
      </c>
    </row>
    <row r="27" spans="1:11" ht="24.95" customHeight="1" x14ac:dyDescent="0.25">
      <c r="A27" s="95">
        <v>2060000</v>
      </c>
      <c r="B27" s="95">
        <v>7377170</v>
      </c>
      <c r="C27" s="95">
        <v>0</v>
      </c>
      <c r="D27" s="82">
        <f>+A27+B27-C27</f>
        <v>9437170</v>
      </c>
      <c r="E27" s="82">
        <f>+I24</f>
        <v>512087</v>
      </c>
      <c r="F27" s="72">
        <f>+E27/D27</f>
        <v>5.4262771572409947E-2</v>
      </c>
      <c r="G27" s="82">
        <f>+I12</f>
        <v>8648451</v>
      </c>
      <c r="H27" s="82">
        <f>+D27-E27-G27</f>
        <v>276632</v>
      </c>
      <c r="I27" s="82">
        <f>+J24</f>
        <v>512087</v>
      </c>
      <c r="J27" s="73">
        <f>+I27/D27</f>
        <v>5.4262771572409947E-2</v>
      </c>
      <c r="K27" s="82">
        <f>+K24</f>
        <v>0</v>
      </c>
    </row>
    <row r="28" spans="1:11" x14ac:dyDescent="0.25">
      <c r="A28" s="74">
        <v>1</v>
      </c>
      <c r="B28" s="74">
        <v>2</v>
      </c>
      <c r="C28" s="74">
        <v>3</v>
      </c>
      <c r="D28" s="74" t="s">
        <v>42</v>
      </c>
      <c r="E28" s="74">
        <v>5</v>
      </c>
      <c r="F28" s="74" t="s">
        <v>69</v>
      </c>
      <c r="G28" s="74">
        <v>7</v>
      </c>
      <c r="H28" s="74" t="s">
        <v>70</v>
      </c>
      <c r="I28" s="74">
        <v>9</v>
      </c>
      <c r="J28" s="74" t="s">
        <v>100</v>
      </c>
      <c r="K28" s="74" t="s">
        <v>101</v>
      </c>
    </row>
  </sheetData>
  <mergeCells count="15">
    <mergeCell ref="A5:A6"/>
    <mergeCell ref="B5:B6"/>
    <mergeCell ref="D5:D6"/>
    <mergeCell ref="E5:H5"/>
    <mergeCell ref="G24:H24"/>
    <mergeCell ref="J5:K6"/>
    <mergeCell ref="E6:H6"/>
    <mergeCell ref="G12:H12"/>
    <mergeCell ref="A14:A15"/>
    <mergeCell ref="E14:H14"/>
    <mergeCell ref="I14:I15"/>
    <mergeCell ref="J14:J15"/>
    <mergeCell ref="E15:F15"/>
    <mergeCell ref="G15:H15"/>
    <mergeCell ref="I5:I6"/>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4" workbookViewId="0">
      <selection activeCell="M8" sqref="M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122</v>
      </c>
      <c r="B3" s="84" t="s">
        <v>93</v>
      </c>
      <c r="C3" s="34"/>
      <c r="D3" s="34"/>
      <c r="E3" s="35"/>
      <c r="F3" s="35"/>
      <c r="G3" s="35"/>
      <c r="H3" s="35"/>
      <c r="I3" s="35"/>
      <c r="J3" s="35"/>
      <c r="K3" s="489" t="s">
        <v>1161</v>
      </c>
    </row>
    <row r="4" spans="1:11" ht="12.75" customHeight="1" x14ac:dyDescent="0.25">
      <c r="A4" s="38"/>
      <c r="B4" s="38"/>
      <c r="C4" s="38"/>
      <c r="D4" s="38"/>
      <c r="E4" s="38"/>
      <c r="F4" s="38"/>
      <c r="G4" s="168"/>
      <c r="H4" s="38"/>
      <c r="I4" s="159"/>
      <c r="J4" s="38"/>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113"/>
      <c r="B7" s="267"/>
      <c r="C7" s="142"/>
      <c r="D7" s="139"/>
      <c r="E7" s="268"/>
      <c r="F7" s="114"/>
      <c r="G7" s="114"/>
      <c r="H7" s="115"/>
      <c r="I7" s="116"/>
      <c r="J7" s="142"/>
      <c r="K7" s="116"/>
    </row>
    <row r="8" spans="1:11" x14ac:dyDescent="0.25">
      <c r="A8" s="48">
        <v>43067</v>
      </c>
      <c r="B8" s="152" t="s">
        <v>1206</v>
      </c>
      <c r="C8" s="505"/>
      <c r="D8" s="129">
        <v>1016</v>
      </c>
      <c r="E8" s="65" t="s">
        <v>709</v>
      </c>
      <c r="F8" s="85"/>
      <c r="G8" s="114"/>
      <c r="H8" s="115"/>
      <c r="I8" s="75">
        <v>425207403</v>
      </c>
      <c r="J8" s="142"/>
      <c r="K8" s="116"/>
    </row>
    <row r="9" spans="1:11" ht="12.75" customHeight="1" x14ac:dyDescent="0.25">
      <c r="A9" s="48"/>
      <c r="B9" s="53"/>
      <c r="C9" s="54"/>
      <c r="D9" s="44"/>
      <c r="E9" s="44"/>
      <c r="F9" s="37"/>
      <c r="G9" s="51"/>
      <c r="H9" s="52"/>
      <c r="I9" s="75"/>
      <c r="J9" s="44"/>
      <c r="K9" s="49"/>
    </row>
    <row r="10" spans="1:11" x14ac:dyDescent="0.25">
      <c r="A10" s="55"/>
      <c r="B10" s="56"/>
      <c r="C10" s="56"/>
      <c r="D10" s="56"/>
      <c r="E10" s="56"/>
      <c r="F10" s="56"/>
      <c r="G10" s="527" t="s">
        <v>132</v>
      </c>
      <c r="H10" s="528"/>
      <c r="I10" s="77">
        <f>SUM(I8:I9)</f>
        <v>425207403</v>
      </c>
      <c r="J10" s="57"/>
      <c r="K10" s="58"/>
    </row>
    <row r="11" spans="1:11" ht="12.75" customHeight="1" x14ac:dyDescent="0.25">
      <c r="A11" s="3"/>
      <c r="B11" s="3"/>
      <c r="C11" s="3"/>
      <c r="D11" s="3"/>
      <c r="E11" s="3"/>
      <c r="F11" s="3"/>
      <c r="G11" s="3"/>
      <c r="H11" s="3"/>
      <c r="I11" s="22"/>
      <c r="J11" s="177"/>
      <c r="K11" s="235"/>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5" customHeight="1" x14ac:dyDescent="0.25">
      <c r="A14" s="48"/>
      <c r="B14" s="63"/>
      <c r="C14" s="64"/>
      <c r="D14" s="64"/>
      <c r="E14" s="65"/>
      <c r="F14" s="66"/>
      <c r="G14" s="65"/>
      <c r="H14" s="66"/>
      <c r="I14" s="78"/>
      <c r="J14" s="78"/>
      <c r="K14" s="78">
        <f t="shared" ref="K14:K28" si="0">+I14-J14</f>
        <v>0</v>
      </c>
    </row>
    <row r="15" spans="1:11" x14ac:dyDescent="0.25">
      <c r="A15" s="48">
        <v>42755</v>
      </c>
      <c r="B15" s="63" t="s">
        <v>187</v>
      </c>
      <c r="C15" s="64">
        <v>104</v>
      </c>
      <c r="D15" s="64">
        <v>76</v>
      </c>
      <c r="E15" s="65" t="s">
        <v>188</v>
      </c>
      <c r="F15" s="66"/>
      <c r="G15" s="65" t="s">
        <v>96</v>
      </c>
      <c r="H15" s="66"/>
      <c r="I15" s="75">
        <v>3581000012</v>
      </c>
      <c r="J15" s="75">
        <v>3581000012</v>
      </c>
      <c r="K15" s="78">
        <f t="shared" si="0"/>
        <v>0</v>
      </c>
    </row>
    <row r="16" spans="1:11" x14ac:dyDescent="0.25">
      <c r="A16" s="48">
        <v>42765</v>
      </c>
      <c r="B16" s="63" t="s">
        <v>191</v>
      </c>
      <c r="C16" s="64">
        <v>174</v>
      </c>
      <c r="D16" s="64">
        <v>119</v>
      </c>
      <c r="E16" s="44" t="s">
        <v>190</v>
      </c>
      <c r="F16" s="66"/>
      <c r="G16" s="65" t="s">
        <v>96</v>
      </c>
      <c r="H16" s="66"/>
      <c r="I16" s="171">
        <v>238926559</v>
      </c>
      <c r="J16" s="171">
        <v>238926559</v>
      </c>
      <c r="K16" s="78">
        <f t="shared" si="0"/>
        <v>0</v>
      </c>
    </row>
    <row r="17" spans="1:11" x14ac:dyDescent="0.25">
      <c r="A17" s="48">
        <v>42783</v>
      </c>
      <c r="B17" s="63" t="s">
        <v>216</v>
      </c>
      <c r="C17" s="64">
        <v>274</v>
      </c>
      <c r="D17" s="64">
        <v>223</v>
      </c>
      <c r="E17" s="65" t="s">
        <v>217</v>
      </c>
      <c r="F17" s="66"/>
      <c r="G17" s="65" t="s">
        <v>96</v>
      </c>
      <c r="H17" s="66"/>
      <c r="I17" s="78">
        <v>3384483402</v>
      </c>
      <c r="J17" s="78">
        <v>3384483402</v>
      </c>
      <c r="K17" s="78">
        <f t="shared" si="0"/>
        <v>0</v>
      </c>
    </row>
    <row r="18" spans="1:11" x14ac:dyDescent="0.25">
      <c r="A18" s="48">
        <v>42796</v>
      </c>
      <c r="B18" s="63" t="s">
        <v>298</v>
      </c>
      <c r="C18" s="64">
        <v>450</v>
      </c>
      <c r="D18" s="64">
        <v>433</v>
      </c>
      <c r="E18" s="44" t="s">
        <v>297</v>
      </c>
      <c r="F18" s="66"/>
      <c r="G18" s="65" t="s">
        <v>96</v>
      </c>
      <c r="H18" s="66"/>
      <c r="I18" s="75">
        <v>3654732620</v>
      </c>
      <c r="J18" s="75">
        <v>3654732620</v>
      </c>
      <c r="K18" s="78">
        <f t="shared" si="0"/>
        <v>0</v>
      </c>
    </row>
    <row r="19" spans="1:11" x14ac:dyDescent="0.25">
      <c r="A19" s="48">
        <v>42845</v>
      </c>
      <c r="B19" s="63" t="s">
        <v>343</v>
      </c>
      <c r="C19" s="64">
        <v>545</v>
      </c>
      <c r="D19" s="64">
        <v>552</v>
      </c>
      <c r="E19" s="65" t="s">
        <v>344</v>
      </c>
      <c r="F19" s="66"/>
      <c r="G19" s="65" t="s">
        <v>96</v>
      </c>
      <c r="H19" s="66"/>
      <c r="I19" s="75">
        <v>3334061999</v>
      </c>
      <c r="J19" s="75">
        <v>3334061999</v>
      </c>
      <c r="K19" s="78">
        <f t="shared" si="0"/>
        <v>0</v>
      </c>
    </row>
    <row r="20" spans="1:11" x14ac:dyDescent="0.25">
      <c r="A20" s="48">
        <v>42873</v>
      </c>
      <c r="B20" s="63" t="s">
        <v>434</v>
      </c>
      <c r="C20" s="64">
        <v>627</v>
      </c>
      <c r="D20" s="64">
        <v>675</v>
      </c>
      <c r="E20" s="44" t="s">
        <v>435</v>
      </c>
      <c r="F20" s="66"/>
      <c r="G20" s="65" t="s">
        <v>96</v>
      </c>
      <c r="H20" s="66"/>
      <c r="I20" s="75">
        <v>3758695586</v>
      </c>
      <c r="J20" s="75">
        <v>3758695586</v>
      </c>
      <c r="K20" s="78">
        <f t="shared" si="0"/>
        <v>0</v>
      </c>
    </row>
    <row r="21" spans="1:11" x14ac:dyDescent="0.25">
      <c r="A21" s="48">
        <v>42898</v>
      </c>
      <c r="B21" s="63" t="s">
        <v>534</v>
      </c>
      <c r="C21" s="64">
        <v>680</v>
      </c>
      <c r="D21" s="251">
        <v>742</v>
      </c>
      <c r="E21" s="65" t="s">
        <v>535</v>
      </c>
      <c r="F21" s="66"/>
      <c r="G21" s="65" t="s">
        <v>96</v>
      </c>
      <c r="H21" s="66"/>
      <c r="I21" s="78">
        <v>8087940038</v>
      </c>
      <c r="J21" s="78">
        <v>8087940038</v>
      </c>
      <c r="K21" s="78">
        <f t="shared" si="0"/>
        <v>0</v>
      </c>
    </row>
    <row r="22" spans="1:11" x14ac:dyDescent="0.25">
      <c r="A22" s="48">
        <v>42901</v>
      </c>
      <c r="B22" s="63" t="s">
        <v>603</v>
      </c>
      <c r="C22" s="64">
        <v>699</v>
      </c>
      <c r="D22" s="251">
        <v>759</v>
      </c>
      <c r="E22" s="65" t="s">
        <v>604</v>
      </c>
      <c r="F22" s="66"/>
      <c r="G22" s="65" t="s">
        <v>96</v>
      </c>
      <c r="H22" s="66"/>
      <c r="I22" s="78">
        <v>11986132</v>
      </c>
      <c r="J22" s="78">
        <v>11986132</v>
      </c>
      <c r="K22" s="78">
        <f t="shared" si="0"/>
        <v>0</v>
      </c>
    </row>
    <row r="23" spans="1:11" x14ac:dyDescent="0.25">
      <c r="A23" s="48">
        <v>42934</v>
      </c>
      <c r="B23" s="63" t="s">
        <v>677</v>
      </c>
      <c r="C23" s="64">
        <v>756</v>
      </c>
      <c r="D23" s="251">
        <v>844</v>
      </c>
      <c r="E23" s="65" t="s">
        <v>678</v>
      </c>
      <c r="F23" s="66"/>
      <c r="G23" s="65" t="s">
        <v>96</v>
      </c>
      <c r="H23" s="66"/>
      <c r="I23" s="78">
        <v>3265316146</v>
      </c>
      <c r="J23" s="78">
        <v>3265316146</v>
      </c>
      <c r="K23" s="78">
        <f t="shared" si="0"/>
        <v>0</v>
      </c>
    </row>
    <row r="24" spans="1:11" x14ac:dyDescent="0.25">
      <c r="A24" s="48">
        <v>42965</v>
      </c>
      <c r="B24" s="63" t="s">
        <v>750</v>
      </c>
      <c r="C24" s="64">
        <v>783</v>
      </c>
      <c r="D24" s="251">
        <v>905</v>
      </c>
      <c r="E24" s="65" t="s">
        <v>751</v>
      </c>
      <c r="F24" s="66"/>
      <c r="G24" s="65" t="s">
        <v>96</v>
      </c>
      <c r="H24" s="66"/>
      <c r="I24" s="78">
        <v>3319841661</v>
      </c>
      <c r="J24" s="78">
        <v>3319841661</v>
      </c>
      <c r="K24" s="78">
        <f t="shared" si="0"/>
        <v>0</v>
      </c>
    </row>
    <row r="25" spans="1:11" x14ac:dyDescent="0.25">
      <c r="A25" s="48">
        <v>42972</v>
      </c>
      <c r="B25" s="63" t="s">
        <v>798</v>
      </c>
      <c r="C25" s="64">
        <v>792</v>
      </c>
      <c r="D25" s="251">
        <v>936</v>
      </c>
      <c r="E25" s="65" t="s">
        <v>799</v>
      </c>
      <c r="F25" s="66"/>
      <c r="G25" s="65" t="s">
        <v>96</v>
      </c>
      <c r="H25" s="66"/>
      <c r="I25" s="78">
        <f>8229394+2980632+6496890+405528</f>
        <v>18112444</v>
      </c>
      <c r="J25" s="78">
        <f>8229394+2980632+6496890+405528</f>
        <v>18112444</v>
      </c>
      <c r="K25" s="78">
        <f t="shared" si="0"/>
        <v>0</v>
      </c>
    </row>
    <row r="26" spans="1:11" x14ac:dyDescent="0.25">
      <c r="A26" s="48">
        <v>42997</v>
      </c>
      <c r="B26" s="63" t="s">
        <v>977</v>
      </c>
      <c r="C26" s="64">
        <v>821</v>
      </c>
      <c r="D26" s="251">
        <v>1047</v>
      </c>
      <c r="E26" s="65" t="s">
        <v>978</v>
      </c>
      <c r="F26" s="66"/>
      <c r="G26" s="65" t="s">
        <v>96</v>
      </c>
      <c r="H26" s="66"/>
      <c r="I26" s="78">
        <v>3636677835</v>
      </c>
      <c r="J26" s="78">
        <v>3636677835</v>
      </c>
      <c r="K26" s="78">
        <f t="shared" si="0"/>
        <v>0</v>
      </c>
    </row>
    <row r="27" spans="1:11" x14ac:dyDescent="0.25">
      <c r="A27" s="48">
        <v>43026</v>
      </c>
      <c r="B27" s="63" t="s">
        <v>1132</v>
      </c>
      <c r="C27" s="64">
        <v>877</v>
      </c>
      <c r="D27" s="251">
        <v>1170</v>
      </c>
      <c r="E27" s="65" t="s">
        <v>1131</v>
      </c>
      <c r="F27" s="66"/>
      <c r="G27" s="65" t="s">
        <v>96</v>
      </c>
      <c r="H27" s="66"/>
      <c r="I27" s="78">
        <v>3336208325</v>
      </c>
      <c r="J27" s="78">
        <v>3336208325</v>
      </c>
      <c r="K27" s="78">
        <f t="shared" si="0"/>
        <v>0</v>
      </c>
    </row>
    <row r="28" spans="1:11" x14ac:dyDescent="0.25">
      <c r="A28" s="48">
        <v>43060</v>
      </c>
      <c r="B28" s="63" t="s">
        <v>1196</v>
      </c>
      <c r="C28" s="64">
        <v>1001</v>
      </c>
      <c r="D28" s="251">
        <v>1313</v>
      </c>
      <c r="E28" s="65" t="s">
        <v>1197</v>
      </c>
      <c r="F28" s="66"/>
      <c r="G28" s="65" t="s">
        <v>96</v>
      </c>
      <c r="H28" s="66"/>
      <c r="I28" s="78">
        <v>3542130121</v>
      </c>
      <c r="J28" s="78">
        <v>3542130121</v>
      </c>
      <c r="K28" s="78">
        <f t="shared" si="0"/>
        <v>0</v>
      </c>
    </row>
    <row r="29" spans="1:11" x14ac:dyDescent="0.25">
      <c r="A29" s="48"/>
      <c r="B29" s="63"/>
      <c r="C29" s="64"/>
      <c r="D29" s="251"/>
      <c r="E29" s="65"/>
      <c r="F29" s="66"/>
      <c r="G29" s="65"/>
      <c r="H29" s="66"/>
      <c r="I29" s="78"/>
      <c r="J29" s="78"/>
      <c r="K29" s="78"/>
    </row>
    <row r="30" spans="1:11" ht="12.75" customHeight="1" x14ac:dyDescent="0.25">
      <c r="A30" s="48"/>
      <c r="B30" s="63"/>
      <c r="C30" s="41"/>
      <c r="D30" s="41"/>
      <c r="E30" s="44"/>
      <c r="F30" s="49"/>
      <c r="G30" s="44"/>
      <c r="H30" s="49"/>
      <c r="I30" s="94"/>
      <c r="J30" s="94"/>
      <c r="K30" s="94"/>
    </row>
    <row r="31" spans="1:11" x14ac:dyDescent="0.25">
      <c r="A31" s="55"/>
      <c r="B31" s="56"/>
      <c r="C31" s="56"/>
      <c r="D31" s="56"/>
      <c r="E31" s="56"/>
      <c r="F31" s="56"/>
      <c r="G31" s="527" t="s">
        <v>132</v>
      </c>
      <c r="H31" s="528"/>
      <c r="I31" s="83">
        <f>SUM(I14:I30)</f>
        <v>43170112880</v>
      </c>
      <c r="J31" s="83">
        <f>SUM(J14:J30)</f>
        <v>43170112880</v>
      </c>
      <c r="K31" s="83">
        <f>SUM(K14:K30)</f>
        <v>0</v>
      </c>
    </row>
    <row r="32" spans="1:11" ht="12.75" customHeight="1" x14ac:dyDescent="0.25">
      <c r="A32" s="3"/>
      <c r="B32" s="3"/>
      <c r="C32" s="3"/>
      <c r="D32" s="3"/>
      <c r="E32" s="3"/>
      <c r="F32" s="3"/>
      <c r="G32" s="3"/>
      <c r="H32" s="3"/>
      <c r="I32" s="98"/>
      <c r="J32" s="98"/>
      <c r="K32" s="56"/>
    </row>
    <row r="33" spans="1:11" ht="24.95" customHeight="1" x14ac:dyDescent="0.25">
      <c r="A33" s="31" t="s">
        <v>58</v>
      </c>
      <c r="B33" s="31" t="s">
        <v>133</v>
      </c>
      <c r="C33" s="31" t="s">
        <v>30</v>
      </c>
      <c r="D33" s="32" t="s">
        <v>59</v>
      </c>
      <c r="E33" s="31" t="s">
        <v>40</v>
      </c>
      <c r="F33" s="31" t="s">
        <v>62</v>
      </c>
      <c r="G33" s="31" t="s">
        <v>37</v>
      </c>
      <c r="H33" s="31" t="s">
        <v>60</v>
      </c>
      <c r="I33" s="31" t="s">
        <v>61</v>
      </c>
      <c r="J33" s="31" t="s">
        <v>99</v>
      </c>
      <c r="K33" s="31" t="s">
        <v>68</v>
      </c>
    </row>
    <row r="34" spans="1:11" ht="24.95" customHeight="1" x14ac:dyDescent="0.25">
      <c r="A34" s="95">
        <v>56284117000</v>
      </c>
      <c r="B34" s="95">
        <v>0</v>
      </c>
      <c r="C34" s="95">
        <v>0</v>
      </c>
      <c r="D34" s="82">
        <f>+A34+B34-C34</f>
        <v>56284117000</v>
      </c>
      <c r="E34" s="82">
        <f>+I31</f>
        <v>43170112880</v>
      </c>
      <c r="F34" s="72">
        <f>+E34/D34</f>
        <v>0.76700346707047029</v>
      </c>
      <c r="G34" s="82">
        <f>+I10</f>
        <v>425207403</v>
      </c>
      <c r="H34" s="82">
        <f>+D34-E34-G34</f>
        <v>12688796717</v>
      </c>
      <c r="I34" s="82">
        <f>+J31</f>
        <v>43170112880</v>
      </c>
      <c r="J34" s="73">
        <f>+I34/D34</f>
        <v>0.76700346707047029</v>
      </c>
      <c r="K34" s="82">
        <f>+K31</f>
        <v>0</v>
      </c>
    </row>
    <row r="35" spans="1:11" x14ac:dyDescent="0.25">
      <c r="A35" s="74">
        <v>1</v>
      </c>
      <c r="B35" s="74">
        <v>2</v>
      </c>
      <c r="C35" s="74">
        <v>3</v>
      </c>
      <c r="D35" s="74" t="s">
        <v>42</v>
      </c>
      <c r="E35" s="74">
        <v>5</v>
      </c>
      <c r="F35" s="74" t="s">
        <v>69</v>
      </c>
      <c r="G35" s="74">
        <v>7</v>
      </c>
      <c r="H35" s="74" t="s">
        <v>70</v>
      </c>
      <c r="I35" s="74">
        <v>9</v>
      </c>
      <c r="J35" s="74" t="s">
        <v>100</v>
      </c>
      <c r="K35" s="74" t="s">
        <v>101</v>
      </c>
    </row>
    <row r="37" spans="1:11" x14ac:dyDescent="0.25">
      <c r="E37" s="238"/>
    </row>
    <row r="38" spans="1:11" x14ac:dyDescent="0.25">
      <c r="B38" s="238"/>
    </row>
    <row r="39" spans="1:11" x14ac:dyDescent="0.25">
      <c r="E39" s="238"/>
    </row>
  </sheetData>
  <mergeCells count="15">
    <mergeCell ref="G31:H31"/>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B16" workbookViewId="0">
      <selection activeCell="J38" sqref="J3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124</v>
      </c>
      <c r="B3" s="84" t="s">
        <v>92</v>
      </c>
      <c r="C3" s="34"/>
      <c r="D3" s="34"/>
      <c r="E3" s="35"/>
      <c r="F3" s="35"/>
      <c r="G3" s="35"/>
      <c r="H3" s="35"/>
      <c r="I3" s="35"/>
      <c r="J3" s="35"/>
      <c r="K3" s="488" t="s">
        <v>1161</v>
      </c>
    </row>
    <row r="4" spans="1:11" ht="12.75" customHeight="1" x14ac:dyDescent="0.25">
      <c r="A4" s="38"/>
      <c r="B4" s="38"/>
      <c r="C4" s="38"/>
      <c r="D4" s="38"/>
      <c r="E4" s="38"/>
      <c r="F4" s="38"/>
      <c r="G4" s="38"/>
      <c r="H4" s="38"/>
      <c r="I4" s="159"/>
      <c r="J4" s="38"/>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48"/>
      <c r="B7" s="161"/>
      <c r="C7" s="96"/>
      <c r="D7" s="50"/>
      <c r="E7" s="164"/>
      <c r="F7" s="92"/>
      <c r="G7" s="92"/>
      <c r="H7" s="97"/>
      <c r="I7" s="79"/>
      <c r="J7" s="44"/>
      <c r="K7" s="49"/>
    </row>
    <row r="8" spans="1:11" x14ac:dyDescent="0.25">
      <c r="A8" s="48">
        <v>42878</v>
      </c>
      <c r="B8" s="161" t="s">
        <v>165</v>
      </c>
      <c r="C8" s="96"/>
      <c r="D8" s="50">
        <v>649</v>
      </c>
      <c r="E8" s="269" t="s">
        <v>438</v>
      </c>
      <c r="F8" s="92"/>
      <c r="G8" s="92"/>
      <c r="H8" s="97"/>
      <c r="I8" s="79">
        <f>52000000-51986935</f>
        <v>13065</v>
      </c>
      <c r="J8" s="44" t="s">
        <v>196</v>
      </c>
      <c r="K8" s="49"/>
    </row>
    <row r="9" spans="1:11" ht="12.75" customHeight="1" x14ac:dyDescent="0.25">
      <c r="A9" s="48"/>
      <c r="B9" s="53"/>
      <c r="C9" s="54"/>
      <c r="D9" s="44"/>
      <c r="E9" s="44"/>
      <c r="F9" s="37"/>
      <c r="G9" s="51"/>
      <c r="H9" s="52"/>
      <c r="I9" s="75"/>
      <c r="J9" s="44"/>
      <c r="K9" s="49"/>
    </row>
    <row r="10" spans="1:11" x14ac:dyDescent="0.25">
      <c r="A10" s="55"/>
      <c r="B10" s="56"/>
      <c r="C10" s="56"/>
      <c r="D10" s="56"/>
      <c r="E10" s="56"/>
      <c r="F10" s="56"/>
      <c r="G10" s="527" t="s">
        <v>132</v>
      </c>
      <c r="H10" s="528"/>
      <c r="I10" s="77">
        <f>SUM(I7:I9)</f>
        <v>13065</v>
      </c>
      <c r="J10" s="57"/>
      <c r="K10" s="58"/>
    </row>
    <row r="11" spans="1:11" ht="12.75" customHeight="1" x14ac:dyDescent="0.25">
      <c r="A11" s="3"/>
      <c r="B11" s="3"/>
      <c r="C11" s="3"/>
      <c r="D11" s="3"/>
      <c r="E11" s="3"/>
      <c r="F11" s="3"/>
      <c r="G11" s="3"/>
      <c r="H11" s="3"/>
      <c r="I11" s="22"/>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41"/>
      <c r="B14" s="41"/>
      <c r="C14" s="41"/>
      <c r="D14" s="41"/>
      <c r="E14" s="44"/>
      <c r="F14" s="49"/>
      <c r="G14" s="44"/>
      <c r="H14" s="49"/>
      <c r="I14" s="62"/>
      <c r="J14" s="62"/>
      <c r="K14" s="62"/>
    </row>
    <row r="15" spans="1:11" x14ac:dyDescent="0.25">
      <c r="A15" s="48">
        <v>42779</v>
      </c>
      <c r="B15" s="63" t="s">
        <v>214</v>
      </c>
      <c r="C15" s="64">
        <v>209</v>
      </c>
      <c r="D15" s="64">
        <v>203</v>
      </c>
      <c r="E15" s="269" t="s">
        <v>215</v>
      </c>
      <c r="F15" s="66"/>
      <c r="G15" s="65" t="s">
        <v>96</v>
      </c>
      <c r="H15" s="66"/>
      <c r="I15" s="79">
        <v>35089000</v>
      </c>
      <c r="J15" s="79">
        <v>35089000</v>
      </c>
      <c r="K15" s="78">
        <f>+I15-J15</f>
        <v>0</v>
      </c>
    </row>
    <row r="16" spans="1:11" x14ac:dyDescent="0.25">
      <c r="A16" s="48">
        <v>42795</v>
      </c>
      <c r="B16" s="63" t="s">
        <v>273</v>
      </c>
      <c r="C16" s="64">
        <v>283</v>
      </c>
      <c r="D16" s="64">
        <v>308</v>
      </c>
      <c r="E16" s="164" t="s">
        <v>213</v>
      </c>
      <c r="F16" s="66"/>
      <c r="G16" s="65" t="s">
        <v>96</v>
      </c>
      <c r="H16" s="66"/>
      <c r="I16" s="79">
        <v>26009000</v>
      </c>
      <c r="J16" s="79">
        <v>26009000</v>
      </c>
      <c r="K16" s="78">
        <f t="shared" ref="K16:K37" si="0">+I16-J16</f>
        <v>0</v>
      </c>
    </row>
    <row r="17" spans="1:11" x14ac:dyDescent="0.25">
      <c r="A17" s="48">
        <v>42816</v>
      </c>
      <c r="B17" s="63" t="s">
        <v>299</v>
      </c>
      <c r="C17" s="64">
        <v>417</v>
      </c>
      <c r="D17" s="64">
        <v>432</v>
      </c>
      <c r="E17" s="44" t="s">
        <v>300</v>
      </c>
      <c r="F17" s="66"/>
      <c r="G17" s="65" t="s">
        <v>96</v>
      </c>
      <c r="H17" s="66"/>
      <c r="I17" s="79">
        <v>23736000</v>
      </c>
      <c r="J17" s="79">
        <v>23736000</v>
      </c>
      <c r="K17" s="78">
        <f t="shared" si="0"/>
        <v>0</v>
      </c>
    </row>
    <row r="18" spans="1:11" x14ac:dyDescent="0.25">
      <c r="A18" s="48">
        <v>42846</v>
      </c>
      <c r="B18" s="63" t="s">
        <v>358</v>
      </c>
      <c r="C18" s="64">
        <v>538</v>
      </c>
      <c r="D18" s="64">
        <v>554</v>
      </c>
      <c r="E18" s="44" t="s">
        <v>349</v>
      </c>
      <c r="F18" s="66"/>
      <c r="G18" s="65" t="s">
        <v>364</v>
      </c>
      <c r="H18" s="66"/>
      <c r="I18" s="79">
        <v>8500000</v>
      </c>
      <c r="J18" s="79">
        <v>8500000</v>
      </c>
      <c r="K18" s="78">
        <f t="shared" si="0"/>
        <v>0</v>
      </c>
    </row>
    <row r="19" spans="1:11" x14ac:dyDescent="0.25">
      <c r="A19" s="48">
        <v>42846</v>
      </c>
      <c r="B19" s="63" t="s">
        <v>359</v>
      </c>
      <c r="C19" s="64">
        <v>542</v>
      </c>
      <c r="D19" s="64">
        <v>556</v>
      </c>
      <c r="E19" s="44" t="s">
        <v>352</v>
      </c>
      <c r="F19" s="66"/>
      <c r="G19" s="65" t="s">
        <v>365</v>
      </c>
      <c r="H19" s="66"/>
      <c r="I19" s="79">
        <v>8500000</v>
      </c>
      <c r="J19" s="79">
        <v>8500000</v>
      </c>
      <c r="K19" s="78">
        <f t="shared" si="0"/>
        <v>0</v>
      </c>
    </row>
    <row r="20" spans="1:11" x14ac:dyDescent="0.25">
      <c r="A20" s="48">
        <v>42846</v>
      </c>
      <c r="B20" s="63" t="s">
        <v>360</v>
      </c>
      <c r="C20" s="64">
        <v>541</v>
      </c>
      <c r="D20" s="64">
        <v>557</v>
      </c>
      <c r="E20" s="44" t="s">
        <v>351</v>
      </c>
      <c r="F20" s="66"/>
      <c r="G20" s="65" t="s">
        <v>366</v>
      </c>
      <c r="H20" s="66"/>
      <c r="I20" s="79">
        <v>8500000</v>
      </c>
      <c r="J20" s="79">
        <v>8500000</v>
      </c>
      <c r="K20" s="78">
        <f t="shared" si="0"/>
        <v>0</v>
      </c>
    </row>
    <row r="21" spans="1:11" x14ac:dyDescent="0.25">
      <c r="A21" s="48">
        <v>42846</v>
      </c>
      <c r="B21" s="63" t="s">
        <v>361</v>
      </c>
      <c r="C21" s="64">
        <v>543</v>
      </c>
      <c r="D21" s="64">
        <v>558</v>
      </c>
      <c r="E21" s="164" t="s">
        <v>353</v>
      </c>
      <c r="F21" s="66"/>
      <c r="G21" s="88" t="s">
        <v>367</v>
      </c>
      <c r="H21" s="66"/>
      <c r="I21" s="79">
        <v>9500000</v>
      </c>
      <c r="J21" s="79">
        <v>9500000</v>
      </c>
      <c r="K21" s="78">
        <f t="shared" si="0"/>
        <v>0</v>
      </c>
    </row>
    <row r="22" spans="1:11" x14ac:dyDescent="0.25">
      <c r="A22" s="48">
        <v>42846</v>
      </c>
      <c r="B22" s="63" t="s">
        <v>362</v>
      </c>
      <c r="C22" s="64">
        <v>544</v>
      </c>
      <c r="D22" s="64">
        <v>560</v>
      </c>
      <c r="E22" s="164" t="s">
        <v>354</v>
      </c>
      <c r="F22" s="66"/>
      <c r="G22" s="88" t="s">
        <v>368</v>
      </c>
      <c r="H22" s="66"/>
      <c r="I22" s="79">
        <v>9500000</v>
      </c>
      <c r="J22" s="79">
        <v>9500000</v>
      </c>
      <c r="K22" s="78">
        <f t="shared" si="0"/>
        <v>0</v>
      </c>
    </row>
    <row r="23" spans="1:11" x14ac:dyDescent="0.25">
      <c r="A23" s="48">
        <v>42846</v>
      </c>
      <c r="B23" s="63" t="s">
        <v>363</v>
      </c>
      <c r="C23" s="64">
        <v>539</v>
      </c>
      <c r="D23" s="64">
        <v>561</v>
      </c>
      <c r="E23" s="164" t="s">
        <v>350</v>
      </c>
      <c r="F23" s="66"/>
      <c r="G23" s="88" t="s">
        <v>369</v>
      </c>
      <c r="H23" s="66"/>
      <c r="I23" s="79">
        <v>9500000</v>
      </c>
      <c r="J23" s="79">
        <v>9500000</v>
      </c>
      <c r="K23" s="78">
        <f t="shared" si="0"/>
        <v>0</v>
      </c>
    </row>
    <row r="24" spans="1:11" x14ac:dyDescent="0.25">
      <c r="A24" s="48">
        <v>42865</v>
      </c>
      <c r="B24" s="63" t="s">
        <v>412</v>
      </c>
      <c r="C24" s="64">
        <v>556</v>
      </c>
      <c r="D24" s="64">
        <v>646</v>
      </c>
      <c r="E24" s="164" t="s">
        <v>413</v>
      </c>
      <c r="F24" s="66"/>
      <c r="G24" s="88" t="s">
        <v>96</v>
      </c>
      <c r="H24" s="66"/>
      <c r="I24" s="79">
        <v>25000000</v>
      </c>
      <c r="J24" s="79">
        <v>25000000</v>
      </c>
      <c r="K24" s="78">
        <f t="shared" si="0"/>
        <v>0</v>
      </c>
    </row>
    <row r="25" spans="1:11" x14ac:dyDescent="0.25">
      <c r="A25" s="48">
        <v>42878</v>
      </c>
      <c r="B25" s="63" t="s">
        <v>437</v>
      </c>
      <c r="C25" s="64">
        <v>615</v>
      </c>
      <c r="D25" s="64">
        <v>706</v>
      </c>
      <c r="E25" s="164" t="s">
        <v>411</v>
      </c>
      <c r="F25" s="66"/>
      <c r="G25" s="88" t="s">
        <v>96</v>
      </c>
      <c r="H25" s="66"/>
      <c r="I25" s="79">
        <v>27051000</v>
      </c>
      <c r="J25" s="79">
        <v>27051000</v>
      </c>
      <c r="K25" s="78">
        <f t="shared" si="0"/>
        <v>0</v>
      </c>
    </row>
    <row r="26" spans="1:11" x14ac:dyDescent="0.25">
      <c r="A26" s="48">
        <v>42907</v>
      </c>
      <c r="B26" s="63" t="s">
        <v>605</v>
      </c>
      <c r="C26" s="64">
        <v>697</v>
      </c>
      <c r="D26" s="64">
        <v>783</v>
      </c>
      <c r="E26" s="164" t="s">
        <v>610</v>
      </c>
      <c r="F26" s="66"/>
      <c r="G26" s="88" t="s">
        <v>96</v>
      </c>
      <c r="H26" s="66"/>
      <c r="I26" s="79">
        <v>30350000</v>
      </c>
      <c r="J26" s="79">
        <v>30350000</v>
      </c>
      <c r="K26" s="78">
        <f t="shared" si="0"/>
        <v>0</v>
      </c>
    </row>
    <row r="27" spans="1:11" x14ac:dyDescent="0.25">
      <c r="A27" s="48">
        <v>42915</v>
      </c>
      <c r="B27" s="63" t="s">
        <v>606</v>
      </c>
      <c r="C27" s="64">
        <v>716</v>
      </c>
      <c r="D27" s="64">
        <v>809</v>
      </c>
      <c r="E27" s="164" t="s">
        <v>611</v>
      </c>
      <c r="F27" s="66"/>
      <c r="G27" s="88" t="s">
        <v>368</v>
      </c>
      <c r="H27" s="66"/>
      <c r="I27" s="79">
        <v>19184000</v>
      </c>
      <c r="J27" s="79">
        <v>19184000</v>
      </c>
      <c r="K27" s="78">
        <f t="shared" si="0"/>
        <v>0</v>
      </c>
    </row>
    <row r="28" spans="1:11" x14ac:dyDescent="0.25">
      <c r="A28" s="48">
        <v>42915</v>
      </c>
      <c r="B28" s="63" t="s">
        <v>607</v>
      </c>
      <c r="C28" s="64">
        <v>718</v>
      </c>
      <c r="D28" s="64">
        <v>810</v>
      </c>
      <c r="E28" s="164" t="s">
        <v>611</v>
      </c>
      <c r="F28" s="66"/>
      <c r="G28" s="88" t="s">
        <v>366</v>
      </c>
      <c r="H28" s="66"/>
      <c r="I28" s="79">
        <v>17000000</v>
      </c>
      <c r="J28" s="79">
        <v>17000000</v>
      </c>
      <c r="K28" s="78">
        <f t="shared" si="0"/>
        <v>0</v>
      </c>
    </row>
    <row r="29" spans="1:11" x14ac:dyDescent="0.25">
      <c r="A29" s="48">
        <v>42915</v>
      </c>
      <c r="B29" s="63" t="s">
        <v>608</v>
      </c>
      <c r="C29" s="64">
        <v>717</v>
      </c>
      <c r="D29" s="64">
        <v>811</v>
      </c>
      <c r="E29" s="164" t="s">
        <v>611</v>
      </c>
      <c r="F29" s="66"/>
      <c r="G29" s="88" t="s">
        <v>365</v>
      </c>
      <c r="H29" s="66"/>
      <c r="I29" s="79">
        <v>17000000</v>
      </c>
      <c r="J29" s="79">
        <v>17000000</v>
      </c>
      <c r="K29" s="78">
        <f t="shared" si="0"/>
        <v>0</v>
      </c>
    </row>
    <row r="30" spans="1:11" x14ac:dyDescent="0.25">
      <c r="A30" s="48">
        <v>42915</v>
      </c>
      <c r="B30" s="63" t="s">
        <v>609</v>
      </c>
      <c r="C30" s="64">
        <v>715</v>
      </c>
      <c r="D30" s="64">
        <v>812</v>
      </c>
      <c r="E30" s="164" t="s">
        <v>611</v>
      </c>
      <c r="F30" s="66"/>
      <c r="G30" s="88" t="s">
        <v>369</v>
      </c>
      <c r="H30" s="66"/>
      <c r="I30" s="79">
        <v>19184000</v>
      </c>
      <c r="J30" s="79">
        <v>19184000</v>
      </c>
      <c r="K30" s="78">
        <f t="shared" si="0"/>
        <v>0</v>
      </c>
    </row>
    <row r="31" spans="1:11" x14ac:dyDescent="0.25">
      <c r="A31" s="48">
        <v>42935</v>
      </c>
      <c r="B31" s="63" t="s">
        <v>688</v>
      </c>
      <c r="C31" s="64">
        <v>748</v>
      </c>
      <c r="D31" s="64">
        <v>847</v>
      </c>
      <c r="E31" s="164" t="s">
        <v>690</v>
      </c>
      <c r="F31" s="66"/>
      <c r="G31" s="88" t="s">
        <v>691</v>
      </c>
      <c r="H31" s="66"/>
      <c r="I31" s="79">
        <v>20300000</v>
      </c>
      <c r="J31" s="79">
        <v>13127333</v>
      </c>
      <c r="K31" s="78">
        <f t="shared" si="0"/>
        <v>7172667</v>
      </c>
    </row>
    <row r="32" spans="1:11" x14ac:dyDescent="0.25">
      <c r="A32" s="48">
        <v>42940</v>
      </c>
      <c r="B32" s="63" t="s">
        <v>689</v>
      </c>
      <c r="C32" s="64">
        <v>649</v>
      </c>
      <c r="D32" s="64">
        <v>856</v>
      </c>
      <c r="E32" s="269" t="s">
        <v>438</v>
      </c>
      <c r="F32" s="66"/>
      <c r="G32" s="88" t="s">
        <v>692</v>
      </c>
      <c r="H32" s="66"/>
      <c r="I32" s="79">
        <v>51986935</v>
      </c>
      <c r="J32" s="79">
        <v>0</v>
      </c>
      <c r="K32" s="78">
        <f t="shared" si="0"/>
        <v>51986935</v>
      </c>
    </row>
    <row r="33" spans="1:11" x14ac:dyDescent="0.25">
      <c r="A33" s="48">
        <v>42956</v>
      </c>
      <c r="B33" s="63" t="s">
        <v>752</v>
      </c>
      <c r="C33" s="64">
        <v>765</v>
      </c>
      <c r="D33" s="64">
        <v>882</v>
      </c>
      <c r="E33" s="308" t="s">
        <v>754</v>
      </c>
      <c r="F33" s="66"/>
      <c r="G33" s="88" t="s">
        <v>96</v>
      </c>
      <c r="H33" s="66"/>
      <c r="I33" s="79">
        <v>29032000</v>
      </c>
      <c r="J33" s="79">
        <v>29032000</v>
      </c>
      <c r="K33" s="78">
        <f t="shared" si="0"/>
        <v>0</v>
      </c>
    </row>
    <row r="34" spans="1:11" x14ac:dyDescent="0.25">
      <c r="A34" s="48">
        <v>42961</v>
      </c>
      <c r="B34" s="63" t="s">
        <v>753</v>
      </c>
      <c r="C34" s="64">
        <v>772</v>
      </c>
      <c r="D34" s="64">
        <v>891</v>
      </c>
      <c r="E34" s="269" t="s">
        <v>755</v>
      </c>
      <c r="F34" s="66"/>
      <c r="G34" s="88" t="s">
        <v>756</v>
      </c>
      <c r="H34" s="66"/>
      <c r="I34" s="79">
        <v>16650000</v>
      </c>
      <c r="J34" s="79">
        <v>9496667</v>
      </c>
      <c r="K34" s="78">
        <f t="shared" si="0"/>
        <v>7153333</v>
      </c>
    </row>
    <row r="35" spans="1:11" x14ac:dyDescent="0.25">
      <c r="A35" s="48">
        <v>42979</v>
      </c>
      <c r="B35" s="63" t="s">
        <v>832</v>
      </c>
      <c r="C35" s="64">
        <v>795</v>
      </c>
      <c r="D35" s="64">
        <v>946</v>
      </c>
      <c r="E35" s="164" t="s">
        <v>833</v>
      </c>
      <c r="F35" s="66"/>
      <c r="G35" s="88" t="s">
        <v>834</v>
      </c>
      <c r="H35" s="66"/>
      <c r="I35" s="79">
        <v>18800000</v>
      </c>
      <c r="J35" s="79">
        <v>9400000</v>
      </c>
      <c r="K35" s="78">
        <f t="shared" si="0"/>
        <v>9400000</v>
      </c>
    </row>
    <row r="36" spans="1:11" x14ac:dyDescent="0.25">
      <c r="A36" s="48">
        <v>43017</v>
      </c>
      <c r="B36" s="63" t="s">
        <v>1067</v>
      </c>
      <c r="C36" s="64">
        <v>855</v>
      </c>
      <c r="D36" s="64">
        <v>1143</v>
      </c>
      <c r="E36" s="164" t="s">
        <v>1068</v>
      </c>
      <c r="F36" s="66"/>
      <c r="G36" s="88" t="s">
        <v>96</v>
      </c>
      <c r="H36" s="66"/>
      <c r="I36" s="79">
        <v>34531000</v>
      </c>
      <c r="J36" s="79">
        <v>34531000</v>
      </c>
      <c r="K36" s="78">
        <f t="shared" si="0"/>
        <v>0</v>
      </c>
    </row>
    <row r="37" spans="1:11" x14ac:dyDescent="0.25">
      <c r="A37" s="48">
        <v>43054</v>
      </c>
      <c r="B37" s="63" t="s">
        <v>1174</v>
      </c>
      <c r="C37" s="64">
        <v>982</v>
      </c>
      <c r="D37" s="64">
        <v>1296</v>
      </c>
      <c r="E37" s="164" t="s">
        <v>1175</v>
      </c>
      <c r="F37" s="66"/>
      <c r="G37" s="88" t="s">
        <v>96</v>
      </c>
      <c r="H37" s="66"/>
      <c r="I37" s="79">
        <v>35383000</v>
      </c>
      <c r="J37" s="79">
        <v>35383000</v>
      </c>
      <c r="K37" s="78">
        <f t="shared" si="0"/>
        <v>0</v>
      </c>
    </row>
    <row r="38" spans="1:11" ht="12.75" customHeight="1" x14ac:dyDescent="0.25">
      <c r="A38" s="48"/>
      <c r="B38" s="63"/>
      <c r="C38" s="41"/>
      <c r="D38" s="41"/>
      <c r="E38" s="44"/>
      <c r="F38" s="49"/>
      <c r="G38" s="44"/>
      <c r="H38" s="49"/>
      <c r="J38" s="94"/>
      <c r="K38" s="94"/>
    </row>
    <row r="39" spans="1:11" x14ac:dyDescent="0.25">
      <c r="A39" s="55"/>
      <c r="B39" s="56"/>
      <c r="C39" s="56"/>
      <c r="D39" s="56"/>
      <c r="E39" s="56"/>
      <c r="F39" s="56"/>
      <c r="G39" s="527" t="s">
        <v>132</v>
      </c>
      <c r="H39" s="528"/>
      <c r="I39" s="83">
        <f>SUM(I15:I37)</f>
        <v>500285935</v>
      </c>
      <c r="J39" s="83">
        <f>SUM(J15:J38)</f>
        <v>424573000</v>
      </c>
      <c r="K39" s="83">
        <f>SUM(K15:K38)</f>
        <v>75712935</v>
      </c>
    </row>
    <row r="40" spans="1:11" ht="12.75" customHeight="1" x14ac:dyDescent="0.25">
      <c r="A40" s="3"/>
      <c r="B40" s="3"/>
      <c r="C40" s="3"/>
      <c r="D40" s="3"/>
      <c r="E40" s="3"/>
      <c r="F40" s="3"/>
      <c r="G40" s="3"/>
      <c r="H40" s="3"/>
      <c r="I40" s="98"/>
      <c r="J40" s="71"/>
      <c r="K40" s="178"/>
    </row>
    <row r="41" spans="1:11" ht="24.95" customHeight="1" x14ac:dyDescent="0.25">
      <c r="A41" s="31" t="s">
        <v>58</v>
      </c>
      <c r="B41" s="31" t="s">
        <v>133</v>
      </c>
      <c r="C41" s="31" t="s">
        <v>30</v>
      </c>
      <c r="D41" s="32" t="s">
        <v>59</v>
      </c>
      <c r="E41" s="31" t="s">
        <v>40</v>
      </c>
      <c r="F41" s="31" t="s">
        <v>62</v>
      </c>
      <c r="G41" s="31" t="s">
        <v>37</v>
      </c>
      <c r="H41" s="31" t="s">
        <v>60</v>
      </c>
      <c r="I41" s="31" t="s">
        <v>61</v>
      </c>
      <c r="J41" s="31" t="s">
        <v>99</v>
      </c>
      <c r="K41" s="31" t="s">
        <v>68</v>
      </c>
    </row>
    <row r="42" spans="1:11" ht="24.95" customHeight="1" x14ac:dyDescent="0.25">
      <c r="A42" s="95">
        <v>546106000</v>
      </c>
      <c r="B42" s="95">
        <v>0</v>
      </c>
      <c r="C42" s="95">
        <v>0</v>
      </c>
      <c r="D42" s="82">
        <f>+A42+B42-C42</f>
        <v>546106000</v>
      </c>
      <c r="E42" s="82">
        <f>+I39</f>
        <v>500285935</v>
      </c>
      <c r="F42" s="72">
        <f>+E42/D42</f>
        <v>0.91609675594115425</v>
      </c>
      <c r="G42" s="82">
        <f>+I10</f>
        <v>13065</v>
      </c>
      <c r="H42" s="82">
        <f>+D42-E42-G42</f>
        <v>45807000</v>
      </c>
      <c r="I42" s="82">
        <f>+J39</f>
        <v>424573000</v>
      </c>
      <c r="J42" s="73">
        <f>+I42/D42</f>
        <v>0.77745529256224977</v>
      </c>
      <c r="K42" s="82">
        <f>+K39</f>
        <v>75712935</v>
      </c>
    </row>
    <row r="43" spans="1:11" x14ac:dyDescent="0.25">
      <c r="A43" s="74">
        <v>1</v>
      </c>
      <c r="B43" s="74">
        <v>2</v>
      </c>
      <c r="C43" s="74">
        <v>3</v>
      </c>
      <c r="D43" s="74" t="s">
        <v>42</v>
      </c>
      <c r="E43" s="74">
        <v>5</v>
      </c>
      <c r="F43" s="74" t="s">
        <v>69</v>
      </c>
      <c r="G43" s="74">
        <v>7</v>
      </c>
      <c r="H43" s="74" t="s">
        <v>70</v>
      </c>
      <c r="I43" s="74">
        <v>9</v>
      </c>
      <c r="J43" s="74" t="s">
        <v>100</v>
      </c>
      <c r="K43" s="74" t="s">
        <v>101</v>
      </c>
    </row>
  </sheetData>
  <mergeCells count="15">
    <mergeCell ref="A5:A6"/>
    <mergeCell ref="B5:B6"/>
    <mergeCell ref="D5:D6"/>
    <mergeCell ref="E5:H5"/>
    <mergeCell ref="G39:H39"/>
    <mergeCell ref="J5:K6"/>
    <mergeCell ref="E6:H6"/>
    <mergeCell ref="G10:H10"/>
    <mergeCell ref="A12:A13"/>
    <mergeCell ref="E12:H12"/>
    <mergeCell ref="I12:I13"/>
    <mergeCell ref="J12:J13"/>
    <mergeCell ref="E13:F13"/>
    <mergeCell ref="G13:H13"/>
    <mergeCell ref="I5:I6"/>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K3" sqref="K3"/>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153</v>
      </c>
      <c r="B3" s="84" t="s">
        <v>152</v>
      </c>
      <c r="C3" s="34"/>
      <c r="D3" s="34"/>
      <c r="E3" s="35"/>
      <c r="F3" s="35"/>
      <c r="G3" s="35"/>
      <c r="H3" s="35"/>
      <c r="I3" s="35"/>
      <c r="J3" s="35"/>
      <c r="K3" s="489" t="s">
        <v>1161</v>
      </c>
    </row>
    <row r="4" spans="1:11" ht="12.75" customHeight="1" x14ac:dyDescent="0.25">
      <c r="A4" s="38"/>
      <c r="B4" s="38"/>
      <c r="C4" s="38"/>
      <c r="D4" s="38"/>
      <c r="E4" s="38"/>
      <c r="F4" s="38"/>
      <c r="G4" s="38"/>
      <c r="H4" s="38"/>
      <c r="I4" s="159"/>
      <c r="J4" s="38"/>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50"/>
      <c r="B7" s="42"/>
      <c r="C7" s="43"/>
      <c r="D7" s="44"/>
      <c r="E7" s="42"/>
      <c r="F7" s="45"/>
      <c r="G7" s="46"/>
      <c r="H7" s="47"/>
      <c r="I7" s="169"/>
      <c r="J7" s="42"/>
      <c r="K7" s="43"/>
    </row>
    <row r="8" spans="1:11" x14ac:dyDescent="0.25">
      <c r="A8" s="48" t="s">
        <v>157</v>
      </c>
      <c r="B8" s="161"/>
      <c r="C8" s="96"/>
      <c r="D8" s="50"/>
      <c r="E8" s="164"/>
      <c r="F8" s="92"/>
      <c r="G8" s="92"/>
      <c r="H8" s="97"/>
      <c r="I8" s="79"/>
      <c r="J8" s="44"/>
      <c r="K8" s="49"/>
    </row>
    <row r="9" spans="1:11" ht="12.75" customHeight="1" x14ac:dyDescent="0.25">
      <c r="A9" s="48"/>
      <c r="B9" s="53"/>
      <c r="C9" s="54"/>
      <c r="D9" s="44"/>
      <c r="E9" s="44"/>
      <c r="F9" s="37"/>
      <c r="G9" s="51"/>
      <c r="H9" s="52"/>
      <c r="I9" s="75"/>
      <c r="J9" s="44"/>
      <c r="K9" s="49"/>
    </row>
    <row r="10" spans="1:11" x14ac:dyDescent="0.25">
      <c r="A10" s="55"/>
      <c r="B10" s="56"/>
      <c r="C10" s="56"/>
      <c r="D10" s="56"/>
      <c r="E10" s="56"/>
      <c r="F10" s="56"/>
      <c r="G10" s="527" t="s">
        <v>132</v>
      </c>
      <c r="H10" s="528"/>
      <c r="I10" s="77">
        <f>SUM(I7:I9)</f>
        <v>0</v>
      </c>
      <c r="J10" s="57"/>
      <c r="K10" s="58"/>
    </row>
    <row r="11" spans="1:11" ht="12.75" customHeight="1" x14ac:dyDescent="0.25">
      <c r="A11" s="3"/>
      <c r="B11" s="3"/>
      <c r="C11" s="3"/>
      <c r="D11" s="3"/>
      <c r="E11" s="3"/>
      <c r="F11" s="3"/>
      <c r="G11" s="3"/>
      <c r="H11" s="3"/>
      <c r="I11" s="22"/>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41"/>
      <c r="B14" s="41"/>
      <c r="C14" s="41"/>
      <c r="D14" s="41"/>
      <c r="E14" s="44"/>
      <c r="F14" s="49"/>
      <c r="G14" s="44"/>
      <c r="H14" s="49"/>
      <c r="I14" s="62"/>
      <c r="J14" s="62"/>
      <c r="K14" s="62"/>
    </row>
    <row r="15" spans="1:11" x14ac:dyDescent="0.25">
      <c r="A15" s="48"/>
      <c r="B15" s="63"/>
      <c r="C15" s="64"/>
      <c r="D15" s="64"/>
      <c r="E15" s="164"/>
      <c r="F15" s="66"/>
      <c r="G15" s="65"/>
      <c r="H15" s="66"/>
      <c r="I15" s="79"/>
      <c r="J15" s="79"/>
      <c r="K15" s="78">
        <f>+I15-J15</f>
        <v>0</v>
      </c>
    </row>
    <row r="16" spans="1:11" x14ac:dyDescent="0.25">
      <c r="A16" s="48"/>
      <c r="B16" s="63"/>
      <c r="C16" s="64"/>
      <c r="D16" s="64"/>
      <c r="E16" s="65"/>
      <c r="F16" s="66"/>
      <c r="G16" s="65"/>
      <c r="H16" s="66"/>
      <c r="I16" s="78"/>
      <c r="J16" s="78"/>
      <c r="K16" s="78">
        <f>+I16-J16</f>
        <v>0</v>
      </c>
    </row>
    <row r="17" spans="1:11" ht="12.75" customHeight="1" x14ac:dyDescent="0.25">
      <c r="A17" s="48"/>
      <c r="B17" s="63"/>
      <c r="C17" s="41"/>
      <c r="D17" s="41"/>
      <c r="E17" s="44"/>
      <c r="F17" s="49"/>
      <c r="G17" s="44"/>
      <c r="H17" s="49"/>
      <c r="I17" s="94"/>
      <c r="J17" s="94"/>
      <c r="K17" s="94"/>
    </row>
    <row r="18" spans="1:11" x14ac:dyDescent="0.25">
      <c r="A18" s="55"/>
      <c r="B18" s="56"/>
      <c r="C18" s="56"/>
      <c r="D18" s="56"/>
      <c r="E18" s="56"/>
      <c r="F18" s="56"/>
      <c r="G18" s="527" t="s">
        <v>132</v>
      </c>
      <c r="H18" s="528"/>
      <c r="I18" s="83">
        <f>SUM(I15:I17)</f>
        <v>0</v>
      </c>
      <c r="J18" s="83">
        <f>SUM(J15:J17)</f>
        <v>0</v>
      </c>
      <c r="K18" s="83">
        <f>SUM(K15:K17)</f>
        <v>0</v>
      </c>
    </row>
    <row r="19" spans="1:11" ht="12.75" customHeight="1" x14ac:dyDescent="0.25">
      <c r="A19" s="3"/>
      <c r="B19" s="3"/>
      <c r="C19" s="3"/>
      <c r="D19" s="3"/>
      <c r="E19" s="3"/>
      <c r="F19" s="3"/>
      <c r="G19" s="3"/>
      <c r="H19" s="3"/>
      <c r="I19" s="98"/>
      <c r="J19" s="71"/>
      <c r="K19" s="178"/>
    </row>
    <row r="20" spans="1:11" ht="24.95" customHeight="1" x14ac:dyDescent="0.25">
      <c r="A20" s="31" t="s">
        <v>58</v>
      </c>
      <c r="B20" s="31" t="s">
        <v>133</v>
      </c>
      <c r="C20" s="31" t="s">
        <v>30</v>
      </c>
      <c r="D20" s="32" t="s">
        <v>59</v>
      </c>
      <c r="E20" s="31" t="s">
        <v>40</v>
      </c>
      <c r="F20" s="31" t="s">
        <v>62</v>
      </c>
      <c r="G20" s="31" t="s">
        <v>37</v>
      </c>
      <c r="H20" s="31" t="s">
        <v>60</v>
      </c>
      <c r="I20" s="31" t="s">
        <v>61</v>
      </c>
      <c r="J20" s="31" t="s">
        <v>99</v>
      </c>
      <c r="K20" s="31" t="s">
        <v>68</v>
      </c>
    </row>
    <row r="21" spans="1:11" ht="24.95" customHeight="1" x14ac:dyDescent="0.25">
      <c r="A21" s="95">
        <v>26400000</v>
      </c>
      <c r="B21" s="95">
        <v>0</v>
      </c>
      <c r="C21" s="95">
        <v>0</v>
      </c>
      <c r="D21" s="82">
        <f>+A21+B21-C21</f>
        <v>26400000</v>
      </c>
      <c r="E21" s="82">
        <f>+I18</f>
        <v>0</v>
      </c>
      <c r="F21" s="72">
        <f>+E21/D21</f>
        <v>0</v>
      </c>
      <c r="G21" s="82">
        <f>+I10</f>
        <v>0</v>
      </c>
      <c r="H21" s="82">
        <f>+D21-E21-G21</f>
        <v>26400000</v>
      </c>
      <c r="I21" s="82">
        <f>+J18</f>
        <v>0</v>
      </c>
      <c r="J21" s="73">
        <f>+I21/D21</f>
        <v>0</v>
      </c>
      <c r="K21" s="82">
        <f>+K18</f>
        <v>0</v>
      </c>
    </row>
    <row r="22" spans="1:11" x14ac:dyDescent="0.25">
      <c r="A22" s="74">
        <v>1</v>
      </c>
      <c r="B22" s="74">
        <v>2</v>
      </c>
      <c r="C22" s="74">
        <v>3</v>
      </c>
      <c r="D22" s="74" t="s">
        <v>42</v>
      </c>
      <c r="E22" s="74">
        <v>5</v>
      </c>
      <c r="F22" s="74" t="s">
        <v>69</v>
      </c>
      <c r="G22" s="74">
        <v>7</v>
      </c>
      <c r="H22" s="74" t="s">
        <v>70</v>
      </c>
      <c r="I22" s="74">
        <v>9</v>
      </c>
      <c r="J22" s="74" t="s">
        <v>100</v>
      </c>
      <c r="K22" s="74" t="s">
        <v>101</v>
      </c>
    </row>
  </sheetData>
  <mergeCells count="15">
    <mergeCell ref="G18:H18"/>
    <mergeCell ref="G10:H10"/>
    <mergeCell ref="A12:A13"/>
    <mergeCell ref="E12:H12"/>
    <mergeCell ref="I12:I13"/>
    <mergeCell ref="J12:J13"/>
    <mergeCell ref="E13:F13"/>
    <mergeCell ref="G13:H13"/>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16" zoomScaleNormal="100" workbookViewId="0">
      <selection activeCell="L38" sqref="L38"/>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34" t="s">
        <v>123</v>
      </c>
      <c r="B3" s="84" t="s">
        <v>64</v>
      </c>
      <c r="C3" s="34"/>
      <c r="D3" s="34"/>
      <c r="E3" s="35"/>
      <c r="F3" s="35"/>
      <c r="G3" s="35"/>
      <c r="H3" s="35"/>
      <c r="I3" s="35"/>
      <c r="J3" s="35"/>
      <c r="K3" s="489" t="s">
        <v>1161</v>
      </c>
    </row>
    <row r="4" spans="1:11" ht="12.75" customHeight="1" x14ac:dyDescent="0.25">
      <c r="A4" s="38"/>
      <c r="B4" s="38"/>
      <c r="C4" s="38"/>
      <c r="D4" s="38"/>
      <c r="E4" s="38"/>
      <c r="F4" s="38"/>
      <c r="G4" s="168"/>
      <c r="H4" s="38"/>
      <c r="I4" s="159"/>
      <c r="J4" s="38"/>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50"/>
      <c r="B7" s="42"/>
      <c r="C7" s="43"/>
      <c r="D7" s="62"/>
      <c r="E7" s="42"/>
      <c r="F7" s="45"/>
      <c r="G7" s="46"/>
      <c r="H7" s="47"/>
      <c r="I7" s="169"/>
      <c r="J7" s="42"/>
      <c r="K7" s="43"/>
    </row>
    <row r="8" spans="1:11" ht="12.75" customHeight="1" x14ac:dyDescent="0.25">
      <c r="A8" s="48"/>
      <c r="B8" s="53"/>
      <c r="C8" s="54"/>
      <c r="D8" s="69"/>
      <c r="E8" s="53"/>
      <c r="F8" s="37"/>
      <c r="G8" s="51"/>
      <c r="H8" s="52"/>
      <c r="I8" s="52"/>
      <c r="J8" s="44"/>
      <c r="K8" s="49"/>
    </row>
    <row r="9" spans="1:11" x14ac:dyDescent="0.25">
      <c r="A9" s="55"/>
      <c r="B9" s="56"/>
      <c r="C9" s="56"/>
      <c r="D9" s="56"/>
      <c r="E9" s="56"/>
      <c r="F9" s="56"/>
      <c r="G9" s="527" t="s">
        <v>132</v>
      </c>
      <c r="H9" s="528"/>
      <c r="I9" s="77">
        <f>SUM(I7:I8)</f>
        <v>0</v>
      </c>
      <c r="J9" s="57"/>
      <c r="K9" s="58"/>
    </row>
    <row r="10" spans="1:11" x14ac:dyDescent="0.25">
      <c r="A10" s="55"/>
      <c r="B10" s="56"/>
      <c r="C10" s="56"/>
      <c r="D10" s="56"/>
      <c r="E10" s="56"/>
      <c r="F10" s="56"/>
      <c r="G10" s="149"/>
      <c r="H10" s="149"/>
      <c r="I10" s="167"/>
      <c r="J10" s="98"/>
      <c r="K10" s="170"/>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5" customHeight="1" x14ac:dyDescent="0.25">
      <c r="A13" s="48"/>
      <c r="B13" s="63"/>
      <c r="C13" s="64"/>
      <c r="D13" s="64"/>
      <c r="E13" s="65"/>
      <c r="F13" s="66"/>
      <c r="G13" s="65"/>
      <c r="H13" s="66"/>
      <c r="I13" s="162"/>
      <c r="J13" s="162"/>
      <c r="K13" s="78">
        <f t="shared" ref="K13:K40" si="0">+I13-J13</f>
        <v>0</v>
      </c>
    </row>
    <row r="14" spans="1:11" x14ac:dyDescent="0.25">
      <c r="A14" s="48">
        <v>42755</v>
      </c>
      <c r="B14" s="63" t="s">
        <v>189</v>
      </c>
      <c r="C14" s="64">
        <v>105</v>
      </c>
      <c r="D14" s="64">
        <v>77</v>
      </c>
      <c r="E14" s="65" t="s">
        <v>192</v>
      </c>
      <c r="F14" s="66"/>
      <c r="G14" s="65" t="s">
        <v>96</v>
      </c>
      <c r="H14" s="66"/>
      <c r="I14" s="78">
        <v>399802611</v>
      </c>
      <c r="J14" s="78">
        <v>399802611</v>
      </c>
      <c r="K14" s="78">
        <f t="shared" si="0"/>
        <v>0</v>
      </c>
    </row>
    <row r="15" spans="1:11" x14ac:dyDescent="0.25">
      <c r="A15" s="48">
        <v>42769</v>
      </c>
      <c r="B15" s="63" t="s">
        <v>218</v>
      </c>
      <c r="C15" s="64">
        <v>200</v>
      </c>
      <c r="D15" s="64">
        <v>160</v>
      </c>
      <c r="E15" s="44" t="s">
        <v>219</v>
      </c>
      <c r="F15" s="66"/>
      <c r="G15" s="65" t="s">
        <v>96</v>
      </c>
      <c r="H15" s="66"/>
      <c r="I15" s="171">
        <v>834840</v>
      </c>
      <c r="J15" s="171">
        <v>834840</v>
      </c>
      <c r="K15" s="78"/>
    </row>
    <row r="16" spans="1:11" x14ac:dyDescent="0.25">
      <c r="A16" s="48">
        <v>42769</v>
      </c>
      <c r="B16" s="63" t="s">
        <v>220</v>
      </c>
      <c r="C16" s="64">
        <v>202</v>
      </c>
      <c r="D16" s="64">
        <v>161</v>
      </c>
      <c r="E16" s="65" t="s">
        <v>221</v>
      </c>
      <c r="F16" s="66"/>
      <c r="G16" s="65" t="s">
        <v>96</v>
      </c>
      <c r="H16" s="66"/>
      <c r="I16" s="171">
        <v>1202580</v>
      </c>
      <c r="J16" s="171">
        <v>1202580</v>
      </c>
      <c r="K16" s="78">
        <f t="shared" si="0"/>
        <v>0</v>
      </c>
    </row>
    <row r="17" spans="1:11" x14ac:dyDescent="0.25">
      <c r="A17" s="48">
        <v>42772</v>
      </c>
      <c r="B17" s="63" t="s">
        <v>222</v>
      </c>
      <c r="C17" s="64">
        <v>208</v>
      </c>
      <c r="D17" s="64">
        <v>167</v>
      </c>
      <c r="E17" s="65" t="s">
        <v>223</v>
      </c>
      <c r="F17" s="66"/>
      <c r="G17" s="65" t="s">
        <v>96</v>
      </c>
      <c r="H17" s="66"/>
      <c r="I17" s="171">
        <v>1044223854</v>
      </c>
      <c r="J17" s="171">
        <v>1044223854</v>
      </c>
      <c r="K17" s="78">
        <f t="shared" si="0"/>
        <v>0</v>
      </c>
    </row>
    <row r="18" spans="1:11" x14ac:dyDescent="0.25">
      <c r="A18" s="48">
        <v>42783</v>
      </c>
      <c r="B18" s="63" t="s">
        <v>233</v>
      </c>
      <c r="C18" s="64">
        <v>275</v>
      </c>
      <c r="D18" s="64">
        <v>224</v>
      </c>
      <c r="E18" s="65" t="s">
        <v>234</v>
      </c>
      <c r="F18" s="66"/>
      <c r="G18" s="65" t="s">
        <v>96</v>
      </c>
      <c r="H18" s="66"/>
      <c r="I18" s="171">
        <v>2423252</v>
      </c>
      <c r="J18" s="171">
        <v>2423252</v>
      </c>
      <c r="K18" s="78">
        <f t="shared" si="0"/>
        <v>0</v>
      </c>
    </row>
    <row r="19" spans="1:11" x14ac:dyDescent="0.25">
      <c r="A19" s="48">
        <v>42788</v>
      </c>
      <c r="B19" s="63" t="s">
        <v>224</v>
      </c>
      <c r="C19" s="64">
        <v>311</v>
      </c>
      <c r="D19" s="64">
        <v>256</v>
      </c>
      <c r="E19" s="65" t="s">
        <v>225</v>
      </c>
      <c r="F19" s="66"/>
      <c r="G19" s="65" t="s">
        <v>96</v>
      </c>
      <c r="H19" s="66"/>
      <c r="I19" s="171">
        <v>1062802814</v>
      </c>
      <c r="J19" s="171">
        <v>1062802814</v>
      </c>
      <c r="K19" s="78">
        <f t="shared" si="0"/>
        <v>0</v>
      </c>
    </row>
    <row r="20" spans="1:11" x14ac:dyDescent="0.25">
      <c r="A20" s="48">
        <v>42789</v>
      </c>
      <c r="B20" s="63" t="s">
        <v>226</v>
      </c>
      <c r="C20" s="64">
        <v>322</v>
      </c>
      <c r="D20" s="64">
        <v>266</v>
      </c>
      <c r="E20" s="65" t="s">
        <v>227</v>
      </c>
      <c r="F20" s="66"/>
      <c r="G20" s="65" t="s">
        <v>96</v>
      </c>
      <c r="H20" s="66"/>
      <c r="I20" s="171">
        <v>1679490</v>
      </c>
      <c r="J20" s="171">
        <v>1679490</v>
      </c>
      <c r="K20" s="78">
        <f t="shared" si="0"/>
        <v>0</v>
      </c>
    </row>
    <row r="21" spans="1:11" x14ac:dyDescent="0.25">
      <c r="A21" s="48">
        <v>42789</v>
      </c>
      <c r="B21" s="63" t="s">
        <v>228</v>
      </c>
      <c r="C21" s="64">
        <v>323</v>
      </c>
      <c r="D21" s="64">
        <v>267</v>
      </c>
      <c r="E21" s="65" t="s">
        <v>229</v>
      </c>
      <c r="F21" s="66"/>
      <c r="G21" s="65" t="s">
        <v>96</v>
      </c>
      <c r="H21" s="66"/>
      <c r="I21" s="171">
        <v>308500</v>
      </c>
      <c r="J21" s="171">
        <v>308500</v>
      </c>
      <c r="K21" s="78">
        <f t="shared" si="0"/>
        <v>0</v>
      </c>
    </row>
    <row r="22" spans="1:11" x14ac:dyDescent="0.25">
      <c r="A22" s="48">
        <v>42789</v>
      </c>
      <c r="B22" s="63" t="s">
        <v>230</v>
      </c>
      <c r="C22" s="64">
        <v>331</v>
      </c>
      <c r="D22" s="64">
        <v>279</v>
      </c>
      <c r="E22" s="65" t="s">
        <v>231</v>
      </c>
      <c r="F22" s="66"/>
      <c r="G22" s="65" t="s">
        <v>96</v>
      </c>
      <c r="H22" s="66"/>
      <c r="I22" s="171">
        <v>71615310</v>
      </c>
      <c r="J22" s="171">
        <v>71615310</v>
      </c>
      <c r="K22" s="78">
        <f t="shared" si="0"/>
        <v>0</v>
      </c>
    </row>
    <row r="23" spans="1:11" x14ac:dyDescent="0.25">
      <c r="A23" s="48">
        <v>42790</v>
      </c>
      <c r="B23" s="63" t="s">
        <v>276</v>
      </c>
      <c r="C23" s="64">
        <v>335</v>
      </c>
      <c r="D23" s="64">
        <v>314</v>
      </c>
      <c r="E23" s="65" t="s">
        <v>232</v>
      </c>
      <c r="F23" s="66"/>
      <c r="G23" s="65" t="s">
        <v>96</v>
      </c>
      <c r="H23" s="66"/>
      <c r="I23" s="171">
        <v>689370</v>
      </c>
      <c r="J23" s="171">
        <v>689370</v>
      </c>
      <c r="K23" s="78">
        <f t="shared" si="0"/>
        <v>0</v>
      </c>
    </row>
    <row r="24" spans="1:11" x14ac:dyDescent="0.25">
      <c r="A24" s="48">
        <v>42807</v>
      </c>
      <c r="B24" s="63" t="s">
        <v>274</v>
      </c>
      <c r="C24" s="64">
        <v>416</v>
      </c>
      <c r="D24" s="64">
        <v>396</v>
      </c>
      <c r="E24" s="65" t="s">
        <v>275</v>
      </c>
      <c r="F24" s="66"/>
      <c r="G24" s="65" t="s">
        <v>96</v>
      </c>
      <c r="H24" s="66"/>
      <c r="I24" s="171">
        <v>330</v>
      </c>
      <c r="J24" s="171">
        <v>330</v>
      </c>
      <c r="K24" s="78">
        <f t="shared" si="0"/>
        <v>0</v>
      </c>
    </row>
    <row r="25" spans="1:11" x14ac:dyDescent="0.25">
      <c r="A25" s="48">
        <v>42817</v>
      </c>
      <c r="B25" s="63" t="s">
        <v>301</v>
      </c>
      <c r="C25" s="64">
        <v>451</v>
      </c>
      <c r="D25" s="64">
        <v>434</v>
      </c>
      <c r="E25" s="65" t="s">
        <v>302</v>
      </c>
      <c r="F25" s="66"/>
      <c r="G25" s="65" t="s">
        <v>96</v>
      </c>
      <c r="H25" s="66"/>
      <c r="I25" s="171">
        <v>1491974</v>
      </c>
      <c r="J25" s="171">
        <v>1491974</v>
      </c>
      <c r="K25" s="78">
        <f t="shared" si="0"/>
        <v>0</v>
      </c>
    </row>
    <row r="26" spans="1:11" x14ac:dyDescent="0.25">
      <c r="A26" s="48">
        <v>42842</v>
      </c>
      <c r="B26" s="63" t="s">
        <v>345</v>
      </c>
      <c r="C26" s="64">
        <v>510</v>
      </c>
      <c r="D26" s="64">
        <v>534</v>
      </c>
      <c r="E26" s="33" t="s">
        <v>346</v>
      </c>
      <c r="F26" s="66"/>
      <c r="G26" s="65" t="s">
        <v>96</v>
      </c>
      <c r="H26" s="66"/>
      <c r="I26" s="171">
        <v>1087098670</v>
      </c>
      <c r="J26" s="171">
        <v>1087098670</v>
      </c>
      <c r="K26" s="78">
        <f t="shared" si="0"/>
        <v>0</v>
      </c>
    </row>
    <row r="27" spans="1:11" x14ac:dyDescent="0.25">
      <c r="A27" s="48">
        <v>42845</v>
      </c>
      <c r="B27" s="63" t="s">
        <v>347</v>
      </c>
      <c r="C27" s="64">
        <v>546</v>
      </c>
      <c r="D27" s="64">
        <v>553</v>
      </c>
      <c r="E27" s="65" t="s">
        <v>348</v>
      </c>
      <c r="F27" s="66"/>
      <c r="G27" s="65" t="s">
        <v>96</v>
      </c>
      <c r="H27" s="66"/>
      <c r="I27" s="171">
        <v>2207671</v>
      </c>
      <c r="J27" s="171">
        <v>2207671</v>
      </c>
      <c r="K27" s="78">
        <f t="shared" si="0"/>
        <v>0</v>
      </c>
    </row>
    <row r="28" spans="1:11" x14ac:dyDescent="0.25">
      <c r="A28" s="48">
        <v>42867</v>
      </c>
      <c r="B28" s="63" t="s">
        <v>414</v>
      </c>
      <c r="C28" s="64">
        <v>609</v>
      </c>
      <c r="D28" s="64">
        <v>651</v>
      </c>
      <c r="E28" s="65" t="s">
        <v>415</v>
      </c>
      <c r="F28" s="66"/>
      <c r="G28" s="65" t="s">
        <v>96</v>
      </c>
      <c r="H28" s="66"/>
      <c r="I28" s="171">
        <v>1105569102</v>
      </c>
      <c r="J28" s="171">
        <v>1105569102</v>
      </c>
      <c r="K28" s="78">
        <f t="shared" si="0"/>
        <v>0</v>
      </c>
    </row>
    <row r="29" spans="1:11" x14ac:dyDescent="0.25">
      <c r="A29" s="48">
        <v>42873</v>
      </c>
      <c r="B29" s="63" t="s">
        <v>436</v>
      </c>
      <c r="C29" s="64">
        <v>626</v>
      </c>
      <c r="D29" s="64">
        <v>676</v>
      </c>
      <c r="E29" s="65" t="s">
        <v>439</v>
      </c>
      <c r="F29" s="66"/>
      <c r="G29" s="65" t="s">
        <v>96</v>
      </c>
      <c r="H29" s="66"/>
      <c r="I29" s="171">
        <v>6516941</v>
      </c>
      <c r="J29" s="171">
        <v>6516941</v>
      </c>
      <c r="K29" s="78">
        <f t="shared" si="0"/>
        <v>0</v>
      </c>
    </row>
    <row r="30" spans="1:11" x14ac:dyDescent="0.25">
      <c r="A30" s="48">
        <v>42874</v>
      </c>
      <c r="B30" s="63" t="s">
        <v>440</v>
      </c>
      <c r="C30" s="64">
        <v>630</v>
      </c>
      <c r="D30" s="64">
        <v>684</v>
      </c>
      <c r="E30" s="65" t="s">
        <v>442</v>
      </c>
      <c r="F30" s="66"/>
      <c r="G30" s="117" t="s">
        <v>96</v>
      </c>
      <c r="H30" s="66"/>
      <c r="I30" s="171">
        <v>309800</v>
      </c>
      <c r="J30" s="171">
        <v>309800</v>
      </c>
      <c r="K30" s="78">
        <f t="shared" si="0"/>
        <v>0</v>
      </c>
    </row>
    <row r="31" spans="1:11" x14ac:dyDescent="0.25">
      <c r="A31" s="48">
        <v>42878</v>
      </c>
      <c r="B31" s="63" t="s">
        <v>441</v>
      </c>
      <c r="C31" s="64">
        <v>645</v>
      </c>
      <c r="D31" s="64">
        <v>701</v>
      </c>
      <c r="E31" s="65" t="s">
        <v>443</v>
      </c>
      <c r="F31" s="66"/>
      <c r="G31" s="117" t="s">
        <v>96</v>
      </c>
      <c r="H31" s="66"/>
      <c r="I31" s="171">
        <v>1200</v>
      </c>
      <c r="J31" s="171">
        <v>1200</v>
      </c>
      <c r="K31" s="78">
        <f t="shared" si="0"/>
        <v>0</v>
      </c>
    </row>
    <row r="32" spans="1:11" x14ac:dyDescent="0.25">
      <c r="A32" s="48">
        <v>42878</v>
      </c>
      <c r="B32" s="63" t="s">
        <v>444</v>
      </c>
      <c r="C32" s="64">
        <v>574</v>
      </c>
      <c r="D32" s="64">
        <v>702</v>
      </c>
      <c r="E32" s="65" t="s">
        <v>445</v>
      </c>
      <c r="F32" s="66"/>
      <c r="G32" s="117" t="s">
        <v>446</v>
      </c>
      <c r="H32" s="66"/>
      <c r="I32" s="171">
        <v>120400</v>
      </c>
      <c r="J32" s="171">
        <v>120400</v>
      </c>
      <c r="K32" s="78">
        <f t="shared" si="0"/>
        <v>0</v>
      </c>
    </row>
    <row r="33" spans="1:11" x14ac:dyDescent="0.25">
      <c r="A33" s="48">
        <v>42898</v>
      </c>
      <c r="B33" s="63" t="s">
        <v>536</v>
      </c>
      <c r="C33" s="64">
        <v>683</v>
      </c>
      <c r="D33" s="64">
        <v>744</v>
      </c>
      <c r="E33" s="65" t="s">
        <v>439</v>
      </c>
      <c r="F33" s="66"/>
      <c r="G33" s="117" t="s">
        <v>96</v>
      </c>
      <c r="H33" s="66"/>
      <c r="I33" s="171">
        <v>24901723</v>
      </c>
      <c r="J33" s="171">
        <v>24901723</v>
      </c>
      <c r="K33" s="78">
        <f t="shared" si="0"/>
        <v>0</v>
      </c>
    </row>
    <row r="34" spans="1:11" x14ac:dyDescent="0.25">
      <c r="A34" s="48">
        <v>42899</v>
      </c>
      <c r="B34" s="63" t="s">
        <v>612</v>
      </c>
      <c r="C34" s="64">
        <v>696</v>
      </c>
      <c r="D34" s="64">
        <v>751</v>
      </c>
      <c r="E34" s="65" t="s">
        <v>613</v>
      </c>
      <c r="F34" s="66"/>
      <c r="G34" s="117" t="s">
        <v>96</v>
      </c>
      <c r="H34" s="66"/>
      <c r="I34" s="171">
        <v>1050959193</v>
      </c>
      <c r="J34" s="171">
        <v>1050959193</v>
      </c>
      <c r="K34" s="78">
        <f t="shared" si="0"/>
        <v>0</v>
      </c>
    </row>
    <row r="35" spans="1:11" x14ac:dyDescent="0.25">
      <c r="A35" s="48">
        <v>42930</v>
      </c>
      <c r="B35" s="63" t="s">
        <v>675</v>
      </c>
      <c r="C35" s="64">
        <v>751</v>
      </c>
      <c r="D35" s="64">
        <v>841</v>
      </c>
      <c r="E35" s="65" t="s">
        <v>676</v>
      </c>
      <c r="F35" s="66"/>
      <c r="G35" s="117" t="s">
        <v>96</v>
      </c>
      <c r="H35" s="66"/>
      <c r="I35" s="171">
        <v>1440475739</v>
      </c>
      <c r="J35" s="171">
        <v>1440475739</v>
      </c>
      <c r="K35" s="78">
        <f t="shared" si="0"/>
        <v>0</v>
      </c>
    </row>
    <row r="36" spans="1:11" x14ac:dyDescent="0.25">
      <c r="A36" s="48">
        <v>42961</v>
      </c>
      <c r="B36" s="63" t="s">
        <v>759</v>
      </c>
      <c r="C36" s="64">
        <v>777</v>
      </c>
      <c r="D36" s="64">
        <v>889</v>
      </c>
      <c r="E36" s="65" t="s">
        <v>760</v>
      </c>
      <c r="F36" s="66"/>
      <c r="G36" s="117" t="s">
        <v>96</v>
      </c>
      <c r="H36" s="66"/>
      <c r="I36" s="171">
        <v>1065836353</v>
      </c>
      <c r="J36" s="171">
        <v>1065836353</v>
      </c>
      <c r="K36" s="78">
        <f t="shared" si="0"/>
        <v>0</v>
      </c>
    </row>
    <row r="37" spans="1:11" x14ac:dyDescent="0.25">
      <c r="A37" s="48">
        <v>42965</v>
      </c>
      <c r="B37" s="63" t="s">
        <v>757</v>
      </c>
      <c r="C37" s="64">
        <v>784</v>
      </c>
      <c r="D37" s="64">
        <v>906</v>
      </c>
      <c r="E37" s="65" t="s">
        <v>758</v>
      </c>
      <c r="F37" s="66"/>
      <c r="G37" s="117" t="s">
        <v>96</v>
      </c>
      <c r="H37" s="66"/>
      <c r="I37" s="171">
        <v>4704638</v>
      </c>
      <c r="J37" s="171">
        <v>4704638</v>
      </c>
      <c r="K37" s="78">
        <f t="shared" si="0"/>
        <v>0</v>
      </c>
    </row>
    <row r="38" spans="1:11" x14ac:dyDescent="0.25">
      <c r="A38" s="48">
        <v>42990</v>
      </c>
      <c r="B38" s="63" t="s">
        <v>965</v>
      </c>
      <c r="C38" s="64">
        <v>807</v>
      </c>
      <c r="D38" s="64">
        <v>1023</v>
      </c>
      <c r="E38" s="65" t="s">
        <v>964</v>
      </c>
      <c r="F38" s="66"/>
      <c r="G38" s="117" t="s">
        <v>96</v>
      </c>
      <c r="H38" s="66"/>
      <c r="I38" s="171">
        <v>1065914559</v>
      </c>
      <c r="J38" s="171">
        <v>1065914559</v>
      </c>
      <c r="K38" s="78">
        <f t="shared" si="0"/>
        <v>0</v>
      </c>
    </row>
    <row r="39" spans="1:11" x14ac:dyDescent="0.25">
      <c r="A39" s="48">
        <v>42997</v>
      </c>
      <c r="B39" s="63" t="s">
        <v>980</v>
      </c>
      <c r="C39" s="64">
        <v>822</v>
      </c>
      <c r="D39" s="64">
        <v>1048</v>
      </c>
      <c r="E39" s="65" t="s">
        <v>979</v>
      </c>
      <c r="F39" s="66"/>
      <c r="G39" s="117" t="s">
        <v>96</v>
      </c>
      <c r="H39" s="66"/>
      <c r="I39" s="171">
        <v>14085579</v>
      </c>
      <c r="J39" s="171">
        <v>14085579</v>
      </c>
      <c r="K39" s="78">
        <f t="shared" si="0"/>
        <v>0</v>
      </c>
    </row>
    <row r="40" spans="1:11" x14ac:dyDescent="0.25">
      <c r="A40" s="48">
        <v>43019</v>
      </c>
      <c r="B40" s="63" t="s">
        <v>1069</v>
      </c>
      <c r="C40" s="64">
        <v>867</v>
      </c>
      <c r="D40" s="64">
        <v>1148</v>
      </c>
      <c r="E40" s="65" t="s">
        <v>1070</v>
      </c>
      <c r="F40" s="66"/>
      <c r="G40" s="117" t="s">
        <v>96</v>
      </c>
      <c r="H40" s="66"/>
      <c r="I40" s="171">
        <v>1079526061</v>
      </c>
      <c r="J40" s="171">
        <v>1079526061</v>
      </c>
      <c r="K40" s="78">
        <f t="shared" si="0"/>
        <v>0</v>
      </c>
    </row>
    <row r="41" spans="1:11" x14ac:dyDescent="0.25">
      <c r="A41" s="48">
        <v>43053</v>
      </c>
      <c r="B41" s="63" t="s">
        <v>1167</v>
      </c>
      <c r="C41" s="64">
        <v>986</v>
      </c>
      <c r="D41" s="251">
        <v>1295</v>
      </c>
      <c r="E41" s="65" t="s">
        <v>1168</v>
      </c>
      <c r="F41" s="66"/>
      <c r="G41" s="117" t="s">
        <v>96</v>
      </c>
      <c r="H41" s="66"/>
      <c r="I41" s="78">
        <v>1053145896</v>
      </c>
      <c r="J41" s="78">
        <v>1053145896</v>
      </c>
      <c r="K41" s="78">
        <v>0</v>
      </c>
    </row>
    <row r="42" spans="1:11" x14ac:dyDescent="0.25">
      <c r="A42" s="48">
        <v>43054</v>
      </c>
      <c r="B42" s="63" t="s">
        <v>1176</v>
      </c>
      <c r="C42" s="64">
        <v>989</v>
      </c>
      <c r="D42" s="251">
        <v>1297</v>
      </c>
      <c r="E42" s="65" t="s">
        <v>1177</v>
      </c>
      <c r="F42" s="66"/>
      <c r="G42" s="117" t="s">
        <v>96</v>
      </c>
      <c r="H42" s="66"/>
      <c r="I42" s="78">
        <v>1360900</v>
      </c>
      <c r="J42" s="78">
        <v>1360900</v>
      </c>
      <c r="K42" s="78">
        <v>0</v>
      </c>
    </row>
    <row r="43" spans="1:11" x14ac:dyDescent="0.25">
      <c r="A43" s="48">
        <v>43060</v>
      </c>
      <c r="B43" s="63" t="s">
        <v>1195</v>
      </c>
      <c r="C43" s="64">
        <v>1000</v>
      </c>
      <c r="D43" s="251">
        <v>1312</v>
      </c>
      <c r="E43" s="65" t="s">
        <v>439</v>
      </c>
      <c r="F43" s="66"/>
      <c r="G43" s="117" t="s">
        <v>96</v>
      </c>
      <c r="H43" s="66"/>
      <c r="I43" s="78">
        <v>14364884</v>
      </c>
      <c r="J43" s="78">
        <v>14364884</v>
      </c>
      <c r="K43" s="78">
        <v>0</v>
      </c>
    </row>
    <row r="44" spans="1:11" x14ac:dyDescent="0.25">
      <c r="A44" s="48"/>
      <c r="B44" s="63"/>
      <c r="C44" s="64"/>
      <c r="D44" s="251"/>
      <c r="E44" s="65"/>
      <c r="F44" s="66"/>
      <c r="G44" s="117"/>
      <c r="H44" s="66"/>
      <c r="I44" s="78"/>
      <c r="J44" s="78"/>
      <c r="K44" s="78"/>
    </row>
    <row r="45" spans="1:11" ht="12.75" customHeight="1" x14ac:dyDescent="0.25">
      <c r="A45" s="48"/>
      <c r="B45" s="172"/>
      <c r="C45" s="172"/>
      <c r="D45" s="172"/>
      <c r="E45" s="124"/>
      <c r="F45" s="125"/>
      <c r="G45" s="117"/>
      <c r="H45" s="125"/>
      <c r="I45" s="172"/>
      <c r="J45" s="172"/>
      <c r="K45" s="294"/>
    </row>
    <row r="46" spans="1:11" x14ac:dyDescent="0.25">
      <c r="A46" s="55"/>
      <c r="B46" s="56"/>
      <c r="C46" s="56"/>
      <c r="D46" s="56"/>
      <c r="E46" s="56"/>
      <c r="F46" s="56"/>
      <c r="G46" s="527" t="s">
        <v>132</v>
      </c>
      <c r="H46" s="528"/>
      <c r="I46" s="83">
        <f>SUM(I13:I45)</f>
        <v>11604174234</v>
      </c>
      <c r="J46" s="83">
        <f>SUM(J13:J45)</f>
        <v>11604174234</v>
      </c>
      <c r="K46" s="83">
        <f>SUM(K14:K45)</f>
        <v>0</v>
      </c>
    </row>
    <row r="47" spans="1:11" ht="12.75" customHeight="1" x14ac:dyDescent="0.25">
      <c r="A47" s="56"/>
      <c r="B47" s="56"/>
      <c r="C47" s="56"/>
      <c r="D47" s="56"/>
      <c r="E47" s="56"/>
      <c r="F47" s="56"/>
      <c r="G47" s="121"/>
      <c r="H47" s="121"/>
      <c r="I47" s="173"/>
      <c r="J47" s="173"/>
      <c r="K47" s="173"/>
    </row>
    <row r="48" spans="1:11" ht="24.95" customHeight="1" x14ac:dyDescent="0.25">
      <c r="A48" s="31" t="s">
        <v>58</v>
      </c>
      <c r="B48" s="31" t="s">
        <v>133</v>
      </c>
      <c r="C48" s="31" t="s">
        <v>30</v>
      </c>
      <c r="D48" s="32" t="s">
        <v>59</v>
      </c>
      <c r="E48" s="31" t="s">
        <v>40</v>
      </c>
      <c r="F48" s="31" t="s">
        <v>62</v>
      </c>
      <c r="G48" s="31" t="s">
        <v>37</v>
      </c>
      <c r="H48" s="31" t="s">
        <v>60</v>
      </c>
      <c r="I48" s="31" t="s">
        <v>61</v>
      </c>
      <c r="J48" s="31" t="s">
        <v>99</v>
      </c>
      <c r="K48" s="31" t="s">
        <v>68</v>
      </c>
    </row>
    <row r="49" spans="1:11" ht="24.95" customHeight="1" x14ac:dyDescent="0.25">
      <c r="A49" s="95">
        <v>19666386000</v>
      </c>
      <c r="B49" s="95">
        <v>0</v>
      </c>
      <c r="C49" s="95">
        <v>0</v>
      </c>
      <c r="D49" s="82">
        <f>+A49+B49-C49</f>
        <v>19666386000</v>
      </c>
      <c r="E49" s="82">
        <f>+I46</f>
        <v>11604174234</v>
      </c>
      <c r="F49" s="72">
        <f>+E49/D49</f>
        <v>0.59005117839139332</v>
      </c>
      <c r="G49" s="82">
        <f>+I9</f>
        <v>0</v>
      </c>
      <c r="H49" s="82">
        <f>+D49-E49-G49</f>
        <v>8062211766</v>
      </c>
      <c r="I49" s="82">
        <f>+J46</f>
        <v>11604174234</v>
      </c>
      <c r="J49" s="174">
        <f>+I49/D49</f>
        <v>0.59005117839139332</v>
      </c>
      <c r="K49" s="82">
        <f>+K46</f>
        <v>0</v>
      </c>
    </row>
    <row r="50" spans="1:11" x14ac:dyDescent="0.25">
      <c r="A50" s="74">
        <v>1</v>
      </c>
      <c r="B50" s="74">
        <v>2</v>
      </c>
      <c r="C50" s="74">
        <v>3</v>
      </c>
      <c r="D50" s="74" t="s">
        <v>42</v>
      </c>
      <c r="E50" s="74">
        <v>5</v>
      </c>
      <c r="F50" s="74" t="s">
        <v>69</v>
      </c>
      <c r="G50" s="74">
        <v>7</v>
      </c>
      <c r="H50" s="74" t="s">
        <v>70</v>
      </c>
      <c r="I50" s="74">
        <v>9</v>
      </c>
      <c r="J50" s="74" t="s">
        <v>100</v>
      </c>
      <c r="K50" s="74" t="s">
        <v>101</v>
      </c>
    </row>
    <row r="52" spans="1:11" x14ac:dyDescent="0.25">
      <c r="B52" s="238"/>
      <c r="E52" s="238"/>
      <c r="I52" s="238"/>
    </row>
    <row r="53" spans="1:11" x14ac:dyDescent="0.25">
      <c r="B53" s="238"/>
      <c r="I53" s="238"/>
    </row>
  </sheetData>
  <mergeCells count="15">
    <mergeCell ref="J11:J12"/>
    <mergeCell ref="I11:I12"/>
    <mergeCell ref="A11:A12"/>
    <mergeCell ref="B5:B6"/>
    <mergeCell ref="D5:D6"/>
    <mergeCell ref="I5:I6"/>
    <mergeCell ref="J5:K6"/>
    <mergeCell ref="A5:A6"/>
    <mergeCell ref="G46:H46"/>
    <mergeCell ref="E11:H11"/>
    <mergeCell ref="E12:F12"/>
    <mergeCell ref="G12:H12"/>
    <mergeCell ref="E5:H5"/>
    <mergeCell ref="E6:H6"/>
    <mergeCell ref="G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3" sqref="K3"/>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155</v>
      </c>
      <c r="B3" s="84" t="s">
        <v>156</v>
      </c>
      <c r="C3" s="34"/>
      <c r="D3" s="34"/>
      <c r="E3" s="35"/>
      <c r="F3" s="35"/>
      <c r="G3" s="35"/>
      <c r="H3" s="35"/>
      <c r="I3" s="35"/>
      <c r="J3" s="35"/>
      <c r="K3" s="489" t="s">
        <v>1161</v>
      </c>
    </row>
    <row r="4" spans="1:11" ht="12.75" customHeight="1" x14ac:dyDescent="0.25">
      <c r="A4" s="38"/>
      <c r="B4" s="38"/>
      <c r="C4" s="38"/>
      <c r="D4" s="38"/>
      <c r="E4" s="38"/>
      <c r="F4" s="38"/>
      <c r="G4" s="38"/>
      <c r="H4" s="38"/>
      <c r="I4" s="159"/>
      <c r="J4" s="38"/>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50"/>
      <c r="B7" s="42"/>
      <c r="C7" s="43"/>
      <c r="D7" s="44"/>
      <c r="E7" s="42"/>
      <c r="F7" s="45"/>
      <c r="G7" s="46"/>
      <c r="H7" s="47"/>
      <c r="I7" s="169"/>
      <c r="J7" s="42"/>
      <c r="K7" s="43"/>
    </row>
    <row r="8" spans="1:11" ht="15" customHeight="1" x14ac:dyDescent="0.25">
      <c r="A8" s="89"/>
      <c r="B8" s="44"/>
      <c r="C8" s="49"/>
      <c r="D8" s="50"/>
      <c r="E8" s="44"/>
      <c r="F8" s="37"/>
      <c r="G8" s="51"/>
      <c r="H8" s="52"/>
      <c r="I8" s="153"/>
      <c r="J8" s="44"/>
      <c r="K8" s="49"/>
    </row>
    <row r="9" spans="1:11" ht="12.75" customHeight="1" x14ac:dyDescent="0.25">
      <c r="A9" s="48"/>
      <c r="B9" s="53"/>
      <c r="C9" s="54"/>
      <c r="D9" s="44"/>
      <c r="E9" s="44"/>
      <c r="F9" s="37"/>
      <c r="G9" s="51"/>
      <c r="H9" s="52"/>
      <c r="I9" s="75"/>
      <c r="J9" s="44"/>
      <c r="K9" s="49"/>
    </row>
    <row r="10" spans="1:11" x14ac:dyDescent="0.25">
      <c r="A10" s="55"/>
      <c r="B10" s="56"/>
      <c r="C10" s="56"/>
      <c r="D10" s="56"/>
      <c r="E10" s="56"/>
      <c r="F10" s="56"/>
      <c r="G10" s="527" t="s">
        <v>132</v>
      </c>
      <c r="H10" s="528"/>
      <c r="I10" s="77">
        <f>SUM(I7:I9)</f>
        <v>0</v>
      </c>
      <c r="J10" s="57"/>
      <c r="K10" s="58"/>
    </row>
    <row r="11" spans="1:11" ht="12.75" customHeight="1" x14ac:dyDescent="0.25">
      <c r="A11" s="3"/>
      <c r="B11" s="3"/>
      <c r="C11" s="3"/>
      <c r="D11" s="3"/>
      <c r="E11" s="3"/>
      <c r="F11" s="3"/>
      <c r="G11" s="3"/>
      <c r="H11" s="3"/>
      <c r="I11" s="22"/>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41"/>
      <c r="B14" s="41"/>
      <c r="C14" s="41"/>
      <c r="D14" s="41"/>
      <c r="E14" s="44"/>
      <c r="F14" s="49"/>
      <c r="G14" s="44"/>
      <c r="H14" s="49"/>
      <c r="I14" s="62"/>
      <c r="J14" s="62"/>
      <c r="K14" s="62"/>
    </row>
    <row r="15" spans="1:11" x14ac:dyDescent="0.25">
      <c r="A15" s="48">
        <v>43032</v>
      </c>
      <c r="B15" s="63" t="s">
        <v>1133</v>
      </c>
      <c r="C15" s="64">
        <v>905</v>
      </c>
      <c r="D15" s="64">
        <v>1206</v>
      </c>
      <c r="E15" s="164" t="s">
        <v>1134</v>
      </c>
      <c r="F15" s="66"/>
      <c r="G15" s="65" t="s">
        <v>1135</v>
      </c>
      <c r="H15" s="66"/>
      <c r="I15" s="79">
        <v>2222224</v>
      </c>
      <c r="J15" s="79">
        <v>2222224</v>
      </c>
      <c r="K15" s="78">
        <f>+I15-J15</f>
        <v>0</v>
      </c>
    </row>
    <row r="16" spans="1:11" x14ac:dyDescent="0.25">
      <c r="A16" s="48"/>
      <c r="B16" s="63"/>
      <c r="C16" s="64"/>
      <c r="D16" s="64"/>
      <c r="E16" s="164"/>
      <c r="F16" s="66"/>
      <c r="G16" s="164"/>
      <c r="H16" s="66"/>
      <c r="I16" s="79"/>
      <c r="J16" s="79"/>
      <c r="K16" s="78">
        <f>+I16-J16</f>
        <v>0</v>
      </c>
    </row>
    <row r="17" spans="1:11" x14ac:dyDescent="0.25">
      <c r="A17" s="48"/>
      <c r="B17" s="63"/>
      <c r="C17" s="64"/>
      <c r="D17" s="64"/>
      <c r="E17" s="164"/>
      <c r="F17" s="66"/>
      <c r="G17" s="164"/>
      <c r="H17" s="66"/>
      <c r="I17" s="79"/>
      <c r="J17" s="79"/>
      <c r="K17" s="78">
        <f>+I17-J17</f>
        <v>0</v>
      </c>
    </row>
    <row r="18" spans="1:11" x14ac:dyDescent="0.25">
      <c r="A18" s="48"/>
      <c r="B18" s="63"/>
      <c r="C18" s="64"/>
      <c r="D18" s="64"/>
      <c r="E18" s="164"/>
      <c r="F18" s="66"/>
      <c r="G18"/>
      <c r="H18" s="66"/>
      <c r="I18" s="79"/>
      <c r="J18" s="79"/>
      <c r="K18" s="78"/>
    </row>
    <row r="19" spans="1:11" ht="12.75" customHeight="1" x14ac:dyDescent="0.25">
      <c r="A19" s="48"/>
      <c r="B19" s="63"/>
      <c r="C19" s="41"/>
      <c r="D19" s="41"/>
      <c r="E19" s="44"/>
      <c r="F19" s="49"/>
      <c r="G19" s="44"/>
      <c r="H19" s="49"/>
      <c r="I19" s="94"/>
      <c r="J19" s="94"/>
      <c r="K19" s="94"/>
    </row>
    <row r="20" spans="1:11" x14ac:dyDescent="0.25">
      <c r="A20" s="55"/>
      <c r="B20" s="56"/>
      <c r="C20" s="56"/>
      <c r="D20" s="56"/>
      <c r="E20" s="56"/>
      <c r="F20" s="56"/>
      <c r="G20" s="527" t="s">
        <v>132</v>
      </c>
      <c r="H20" s="528"/>
      <c r="I20" s="83">
        <f>SUM(I15:I19)</f>
        <v>2222224</v>
      </c>
      <c r="J20" s="83">
        <f>SUM(J15:J19)</f>
        <v>2222224</v>
      </c>
      <c r="K20" s="83">
        <f>SUM(K15:K19)</f>
        <v>0</v>
      </c>
    </row>
    <row r="21" spans="1:11" ht="12.75" customHeight="1" x14ac:dyDescent="0.25">
      <c r="A21" s="3"/>
      <c r="B21" s="3"/>
      <c r="C21" s="3"/>
      <c r="D21" s="3"/>
      <c r="E21" s="3"/>
      <c r="F21" s="3"/>
      <c r="G21" s="3"/>
      <c r="H21" s="3"/>
      <c r="I21" s="98"/>
      <c r="J21" s="71"/>
      <c r="K21" s="178"/>
    </row>
    <row r="22" spans="1:11" ht="24.95" customHeight="1" x14ac:dyDescent="0.25">
      <c r="A22" s="31" t="s">
        <v>58</v>
      </c>
      <c r="B22" s="31" t="s">
        <v>133</v>
      </c>
      <c r="C22" s="31" t="s">
        <v>30</v>
      </c>
      <c r="D22" s="32" t="s">
        <v>59</v>
      </c>
      <c r="E22" s="31" t="s">
        <v>40</v>
      </c>
      <c r="F22" s="31" t="s">
        <v>62</v>
      </c>
      <c r="G22" s="31" t="s">
        <v>37</v>
      </c>
      <c r="H22" s="31" t="s">
        <v>60</v>
      </c>
      <c r="I22" s="31" t="s">
        <v>61</v>
      </c>
      <c r="J22" s="31" t="s">
        <v>99</v>
      </c>
      <c r="K22" s="31" t="s">
        <v>68</v>
      </c>
    </row>
    <row r="23" spans="1:11" ht="24.95" customHeight="1" x14ac:dyDescent="0.25">
      <c r="A23" s="95">
        <v>0</v>
      </c>
      <c r="B23" s="95">
        <v>2222224</v>
      </c>
      <c r="C23" s="95">
        <v>0</v>
      </c>
      <c r="D23" s="82">
        <f>+A23+B23-C23</f>
        <v>2222224</v>
      </c>
      <c r="E23" s="82">
        <f>+I20</f>
        <v>2222224</v>
      </c>
      <c r="F23" s="72">
        <v>0</v>
      </c>
      <c r="G23" s="82">
        <f>+I10</f>
        <v>0</v>
      </c>
      <c r="H23" s="82">
        <f>+D23-E23-G23</f>
        <v>0</v>
      </c>
      <c r="I23" s="82">
        <f>+J20</f>
        <v>2222224</v>
      </c>
      <c r="J23" s="73">
        <v>0</v>
      </c>
      <c r="K23" s="82">
        <f>+K20</f>
        <v>0</v>
      </c>
    </row>
    <row r="24" spans="1:11" x14ac:dyDescent="0.25">
      <c r="A24" s="74">
        <v>1</v>
      </c>
      <c r="B24" s="74">
        <v>2</v>
      </c>
      <c r="C24" s="74">
        <v>3</v>
      </c>
      <c r="D24" s="74" t="s">
        <v>42</v>
      </c>
      <c r="E24" s="74">
        <v>5</v>
      </c>
      <c r="F24" s="74" t="s">
        <v>69</v>
      </c>
      <c r="G24" s="74">
        <v>7</v>
      </c>
      <c r="H24" s="74" t="s">
        <v>70</v>
      </c>
      <c r="I24" s="74">
        <v>9</v>
      </c>
      <c r="J24" s="74" t="s">
        <v>100</v>
      </c>
      <c r="K24" s="74" t="s">
        <v>101</v>
      </c>
    </row>
    <row r="26" spans="1:11" x14ac:dyDescent="0.25">
      <c r="B26" s="238"/>
    </row>
  </sheetData>
  <mergeCells count="15">
    <mergeCell ref="A5:A6"/>
    <mergeCell ref="B5:B6"/>
    <mergeCell ref="D5:D6"/>
    <mergeCell ref="E5:H5"/>
    <mergeCell ref="I5:I6"/>
    <mergeCell ref="J5:K6"/>
    <mergeCell ref="E6:H6"/>
    <mergeCell ref="G20:H20"/>
    <mergeCell ref="G10:H10"/>
    <mergeCell ref="A12:A13"/>
    <mergeCell ref="E12:H12"/>
    <mergeCell ref="I12:I13"/>
    <mergeCell ref="J12:J13"/>
    <mergeCell ref="E13:F13"/>
    <mergeCell ref="G13:H13"/>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SheetLayoutView="100" workbookViewId="0">
      <pane xSplit="2" ySplit="2" topLeftCell="C9" activePane="bottomRight" state="frozen"/>
      <selection pane="topRight" activeCell="C1" sqref="C1"/>
      <selection pane="bottomLeft" activeCell="A3" sqref="A3"/>
      <selection pane="bottomRight" activeCell="K30" sqref="K30"/>
    </sheetView>
  </sheetViews>
  <sheetFormatPr baseColWidth="10" defaultRowHeight="12.75" x14ac:dyDescent="0.2"/>
  <cols>
    <col min="1" max="1" width="12.7109375" style="192" customWidth="1"/>
    <col min="2" max="2" width="27.7109375" style="192" customWidth="1"/>
    <col min="3" max="4" width="17.28515625" style="192" customWidth="1"/>
    <col min="5" max="13" width="16.7109375" style="192" customWidth="1"/>
    <col min="14" max="16384" width="11.42578125" style="192"/>
  </cols>
  <sheetData>
    <row r="1" spans="1:16" ht="30" customHeight="1" x14ac:dyDescent="0.2">
      <c r="A1" s="191"/>
      <c r="B1" s="191"/>
      <c r="D1" s="191"/>
      <c r="E1" s="191" t="s">
        <v>97</v>
      </c>
      <c r="F1" s="191"/>
      <c r="G1" s="191"/>
      <c r="H1" s="191"/>
      <c r="I1" s="191"/>
      <c r="J1" s="191"/>
      <c r="K1" s="193"/>
      <c r="L1" s="193"/>
      <c r="M1" s="489" t="s">
        <v>1161</v>
      </c>
    </row>
    <row r="2" spans="1:16" ht="25.5" customHeight="1" x14ac:dyDescent="0.2">
      <c r="A2" s="182" t="s">
        <v>55</v>
      </c>
      <c r="B2" s="182" t="s">
        <v>67</v>
      </c>
      <c r="C2" s="195" t="s">
        <v>140</v>
      </c>
      <c r="D2" s="182" t="s">
        <v>27</v>
      </c>
      <c r="E2" s="182" t="s">
        <v>30</v>
      </c>
      <c r="F2" s="195" t="s">
        <v>59</v>
      </c>
      <c r="G2" s="196" t="s">
        <v>40</v>
      </c>
      <c r="H2" s="195" t="s">
        <v>62</v>
      </c>
      <c r="I2" s="236" t="s">
        <v>37</v>
      </c>
      <c r="J2" s="195" t="s">
        <v>60</v>
      </c>
      <c r="K2" s="197" t="s">
        <v>29</v>
      </c>
      <c r="L2" s="195" t="s">
        <v>99</v>
      </c>
      <c r="M2" s="195" t="s">
        <v>68</v>
      </c>
    </row>
    <row r="3" spans="1:16" ht="25.5" customHeight="1" x14ac:dyDescent="0.2">
      <c r="A3" s="198" t="s">
        <v>8</v>
      </c>
      <c r="B3" s="199" t="s">
        <v>5</v>
      </c>
      <c r="C3" s="200">
        <f>SUM(C4:C7)</f>
        <v>3547994000</v>
      </c>
      <c r="D3" s="200">
        <f>SUM(D4:D7)</f>
        <v>-287670612</v>
      </c>
      <c r="E3" s="200">
        <f>SUM(E4:E7)</f>
        <v>0</v>
      </c>
      <c r="F3" s="200">
        <f>SUM(F4:F7)</f>
        <v>3260323388</v>
      </c>
      <c r="G3" s="200">
        <f>SUM(G4:G7)</f>
        <v>3084767566</v>
      </c>
      <c r="H3" s="201">
        <f>+G3/F3</f>
        <v>0.94615386232968368</v>
      </c>
      <c r="I3" s="200">
        <f>SUM(I4:I7)</f>
        <v>107541061</v>
      </c>
      <c r="J3" s="200">
        <f>SUM(J4:J7)</f>
        <v>68014761</v>
      </c>
      <c r="K3" s="200">
        <f>SUM(K4:K7)</f>
        <v>1669259714</v>
      </c>
      <c r="L3" s="201">
        <f>+K3/F3</f>
        <v>0.51199206807027331</v>
      </c>
      <c r="M3" s="200">
        <f>SUM(M4:M7)</f>
        <v>1415507852</v>
      </c>
    </row>
    <row r="4" spans="1:16" ht="25.5" customHeight="1" x14ac:dyDescent="0.2">
      <c r="A4" s="202" t="s">
        <v>7</v>
      </c>
      <c r="B4" s="203" t="s">
        <v>73</v>
      </c>
      <c r="C4" s="204">
        <f>+'0101'!A23</f>
        <v>109000000</v>
      </c>
      <c r="D4" s="204">
        <f>+'0101'!B23</f>
        <v>-54070612</v>
      </c>
      <c r="E4" s="204">
        <f>+'0101'!C23</f>
        <v>0</v>
      </c>
      <c r="F4" s="204">
        <f>+'0101'!D23</f>
        <v>54929388</v>
      </c>
      <c r="G4" s="204">
        <f>+'0101'!E23</f>
        <v>22836302</v>
      </c>
      <c r="H4" s="205">
        <f>+'0101'!F23</f>
        <v>0.41573923962160292</v>
      </c>
      <c r="I4" s="204">
        <f>+'0101'!G23</f>
        <v>2006927</v>
      </c>
      <c r="J4" s="204">
        <f>+'0101'!H23</f>
        <v>30086159</v>
      </c>
      <c r="K4" s="206">
        <f>+'0101'!I23</f>
        <v>10294201</v>
      </c>
      <c r="L4" s="205">
        <f>+'0101'!J23</f>
        <v>0.18740789538743813</v>
      </c>
      <c r="M4" s="204">
        <f>+'0101'!K23</f>
        <v>12542101</v>
      </c>
    </row>
    <row r="5" spans="1:16" ht="25.5" customHeight="1" x14ac:dyDescent="0.2">
      <c r="A5" s="202" t="s">
        <v>9</v>
      </c>
      <c r="B5" s="203" t="s">
        <v>74</v>
      </c>
      <c r="C5" s="204">
        <f>+'0102'!A36</f>
        <v>2780000000</v>
      </c>
      <c r="D5" s="204">
        <f>+'0102'!B36</f>
        <v>0</v>
      </c>
      <c r="E5" s="204">
        <f>+'0102'!C36</f>
        <v>0</v>
      </c>
      <c r="F5" s="204">
        <f>+'0102'!D36</f>
        <v>2780000000</v>
      </c>
      <c r="G5" s="204">
        <f>+'0102'!E36</f>
        <v>2685841322</v>
      </c>
      <c r="H5" s="205">
        <f>+'0102'!F36</f>
        <v>0.9661299719424461</v>
      </c>
      <c r="I5" s="204">
        <f>+'0102'!G36</f>
        <v>57209555</v>
      </c>
      <c r="J5" s="204">
        <f>+'0102'!H36</f>
        <v>36949123</v>
      </c>
      <c r="K5" s="207">
        <f>+'0102'!I36</f>
        <v>1556843801</v>
      </c>
      <c r="L5" s="205">
        <f>+'0102'!J36</f>
        <v>0.56001575575539564</v>
      </c>
      <c r="M5" s="207">
        <f>+'0102'!K36</f>
        <v>1128997521</v>
      </c>
      <c r="N5" s="234"/>
    </row>
    <row r="6" spans="1:16" ht="25.5" customHeight="1" x14ac:dyDescent="0.2">
      <c r="A6" s="202" t="s">
        <v>10</v>
      </c>
      <c r="B6" s="203" t="s">
        <v>75</v>
      </c>
      <c r="C6" s="204">
        <f>+'0103'!A25</f>
        <v>133600000</v>
      </c>
      <c r="D6" s="204">
        <f>+'0103'!B25</f>
        <v>-83600000</v>
      </c>
      <c r="E6" s="204">
        <f>+'0103'!C25</f>
        <v>0</v>
      </c>
      <c r="F6" s="204">
        <f>+'0103'!D25</f>
        <v>50000000</v>
      </c>
      <c r="G6" s="204">
        <f>+'0103'!E25</f>
        <v>50000000</v>
      </c>
      <c r="H6" s="205">
        <f>+'0103'!F25</f>
        <v>1</v>
      </c>
      <c r="I6" s="204">
        <f>+'0103'!G25</f>
        <v>0</v>
      </c>
      <c r="J6" s="204">
        <f>+'0103'!H25</f>
        <v>0</v>
      </c>
      <c r="K6" s="204">
        <f>+'0103'!I25</f>
        <v>12079822</v>
      </c>
      <c r="L6" s="205">
        <f>+'0103'!J25</f>
        <v>0.24159644</v>
      </c>
      <c r="M6" s="204">
        <f>+'0103'!K25</f>
        <v>37920178</v>
      </c>
    </row>
    <row r="7" spans="1:16" ht="25.5" customHeight="1" x14ac:dyDescent="0.2">
      <c r="A7" s="202" t="s">
        <v>11</v>
      </c>
      <c r="B7" s="203" t="s">
        <v>76</v>
      </c>
      <c r="C7" s="204">
        <f>+'0104'!A30</f>
        <v>525394000</v>
      </c>
      <c r="D7" s="204">
        <f>+'0104'!B30</f>
        <v>-150000000</v>
      </c>
      <c r="E7" s="204">
        <f>+'0104'!C30</f>
        <v>0</v>
      </c>
      <c r="F7" s="204">
        <f>+'0104'!D30</f>
        <v>375394000</v>
      </c>
      <c r="G7" s="204">
        <f>+'0104'!E30</f>
        <v>326089942</v>
      </c>
      <c r="H7" s="205">
        <f>+'0104'!F30</f>
        <v>0.86866050602833289</v>
      </c>
      <c r="I7" s="204">
        <f>+'0104'!G30</f>
        <v>48324579</v>
      </c>
      <c r="J7" s="204">
        <f>+'0104'!H30</f>
        <v>979479</v>
      </c>
      <c r="K7" s="207">
        <f>+'0104'!I30</f>
        <v>90041890</v>
      </c>
      <c r="L7" s="205">
        <f>+'0104'!J30</f>
        <v>0.23985969408141847</v>
      </c>
      <c r="M7" s="207">
        <f>+'0104'!K30</f>
        <v>236048052</v>
      </c>
    </row>
    <row r="8" spans="1:16" ht="25.5" customHeight="1" x14ac:dyDescent="0.2">
      <c r="A8" s="208" t="s">
        <v>12</v>
      </c>
      <c r="B8" s="209" t="s">
        <v>6</v>
      </c>
      <c r="C8" s="210">
        <f>SUM(C9:C14)+C15+C20+C21+C22+C23</f>
        <v>7612828000</v>
      </c>
      <c r="D8" s="210">
        <f>SUM(D9:D14)+D15+D20+D21+D22+D23</f>
        <v>-21928782</v>
      </c>
      <c r="E8" s="210">
        <f>SUM(E9:E14)+E15+E20+E21+E22+E23</f>
        <v>0</v>
      </c>
      <c r="F8" s="210">
        <f>SUM(F9:F14)+F15+F20+F21+F22+F23</f>
        <v>7590899218</v>
      </c>
      <c r="G8" s="210">
        <f>SUM(G9:G14)+G15+G20+G21+G22+G23</f>
        <v>6891351998</v>
      </c>
      <c r="H8" s="211">
        <f>+G8/F8</f>
        <v>0.9078439589421512</v>
      </c>
      <c r="I8" s="210">
        <f>SUM(I9:I14)+I15+I20+I21+I22+I23</f>
        <v>415803856</v>
      </c>
      <c r="J8" s="210">
        <f>SUM(J9:J14)+J15+J20+J21+J22+J23</f>
        <v>283743364</v>
      </c>
      <c r="K8" s="210">
        <f>SUM(K9:K14)+K15+K20+K21+K22+K23</f>
        <v>4113895758.6300001</v>
      </c>
      <c r="L8" s="211">
        <f>+K8/F8</f>
        <v>0.54195104433409957</v>
      </c>
      <c r="M8" s="210">
        <f>SUM(M9:M14)+M15+M20+M21+M22+M23</f>
        <v>2777456239.3699999</v>
      </c>
    </row>
    <row r="9" spans="1:16" ht="25.5" customHeight="1" x14ac:dyDescent="0.2">
      <c r="A9" s="202" t="s">
        <v>136</v>
      </c>
      <c r="B9" s="203" t="s">
        <v>137</v>
      </c>
      <c r="C9" s="204">
        <f>+'0201'!A22</f>
        <v>120800000</v>
      </c>
      <c r="D9" s="204">
        <f>+'0201'!B22</f>
        <v>-22000000</v>
      </c>
      <c r="E9" s="204">
        <f>+'0201'!C22</f>
        <v>0</v>
      </c>
      <c r="F9" s="204">
        <f>+'0201'!D22</f>
        <v>98800000</v>
      </c>
      <c r="G9" s="204">
        <f>+'0201'!E22</f>
        <v>52456140</v>
      </c>
      <c r="H9" s="205">
        <f>+'0201'!F22</f>
        <v>0.53093259109311741</v>
      </c>
      <c r="I9" s="204">
        <f>+'0201'!G22</f>
        <v>2</v>
      </c>
      <c r="J9" s="204">
        <f>+'0201'!H22</f>
        <v>46343858</v>
      </c>
      <c r="K9" s="204">
        <f>+'0201'!I22</f>
        <v>35616158</v>
      </c>
      <c r="L9" s="205">
        <f>+'0201'!J22</f>
        <v>0.36048742914979759</v>
      </c>
      <c r="M9" s="204">
        <f>+'0201'!K22</f>
        <v>16839982</v>
      </c>
      <c r="P9" s="234"/>
    </row>
    <row r="10" spans="1:16" ht="25.5" customHeight="1" x14ac:dyDescent="0.2">
      <c r="A10" s="202" t="s">
        <v>629</v>
      </c>
      <c r="B10" s="203" t="s">
        <v>630</v>
      </c>
      <c r="C10" s="204">
        <v>0</v>
      </c>
      <c r="D10" s="204">
        <f>+'0202'!B34</f>
        <v>14070612</v>
      </c>
      <c r="E10" s="204">
        <v>0</v>
      </c>
      <c r="F10" s="204">
        <f>+'0202'!D34</f>
        <v>14070612</v>
      </c>
      <c r="G10" s="204">
        <f>+'0202'!E34</f>
        <v>14070612</v>
      </c>
      <c r="H10" s="205">
        <f>+'0202'!F34</f>
        <v>1</v>
      </c>
      <c r="I10" s="204">
        <f>+'0202'!G34</f>
        <v>0</v>
      </c>
      <c r="J10" s="204">
        <f>+'0202'!H34</f>
        <v>0</v>
      </c>
      <c r="K10" s="204">
        <f>+'0202'!I34</f>
        <v>13070612</v>
      </c>
      <c r="L10" s="205">
        <f>+'0202'!J34</f>
        <v>0.92892988592109571</v>
      </c>
      <c r="M10" s="204">
        <f>+'0202'!K34</f>
        <v>1000000</v>
      </c>
      <c r="P10" s="234"/>
    </row>
    <row r="11" spans="1:16" ht="25.5" customHeight="1" x14ac:dyDescent="0.2">
      <c r="A11" s="202" t="s">
        <v>13</v>
      </c>
      <c r="B11" s="203" t="s">
        <v>77</v>
      </c>
      <c r="C11" s="204">
        <f>+'0203'!A51</f>
        <v>1203087000</v>
      </c>
      <c r="D11" s="204">
        <f>+'0203'!B51</f>
        <v>610000000</v>
      </c>
      <c r="E11" s="204">
        <f>+'0203'!C51</f>
        <v>0</v>
      </c>
      <c r="F11" s="204">
        <f>+'0203'!D51</f>
        <v>1813087000</v>
      </c>
      <c r="G11" s="204">
        <f>+'0203'!E51</f>
        <v>1756285902</v>
      </c>
      <c r="H11" s="205">
        <f>+'0203'!F51</f>
        <v>0.96867160924985951</v>
      </c>
      <c r="I11" s="204">
        <f>+'0203'!G51</f>
        <v>51774189</v>
      </c>
      <c r="J11" s="204">
        <f>+'0203'!H51</f>
        <v>5026909</v>
      </c>
      <c r="K11" s="204">
        <f>+'0203'!I51</f>
        <v>590889576</v>
      </c>
      <c r="L11" s="205">
        <f>+'0203'!J51</f>
        <v>0.32590249447489283</v>
      </c>
      <c r="M11" s="204">
        <f>+'0203'!K51</f>
        <v>1165396326</v>
      </c>
      <c r="P11" s="234"/>
    </row>
    <row r="12" spans="1:16" ht="25.5" customHeight="1" x14ac:dyDescent="0.2">
      <c r="A12" s="202" t="s">
        <v>14</v>
      </c>
      <c r="B12" s="203" t="s">
        <v>78</v>
      </c>
      <c r="C12" s="204">
        <f>+'0204'!A28</f>
        <v>204970000</v>
      </c>
      <c r="D12" s="204">
        <f>+'0204'!B28</f>
        <v>0</v>
      </c>
      <c r="E12" s="204">
        <f>+'0204'!C28</f>
        <v>0</v>
      </c>
      <c r="F12" s="204">
        <f>+'0204'!D28</f>
        <v>204970000</v>
      </c>
      <c r="G12" s="204">
        <f>+'0204'!E28</f>
        <v>168804081</v>
      </c>
      <c r="H12" s="205">
        <f>+'0204'!F28</f>
        <v>0.82355506171634874</v>
      </c>
      <c r="I12" s="204">
        <f>+'0204'!G28</f>
        <v>914500</v>
      </c>
      <c r="J12" s="204">
        <f>+'0204'!H28</f>
        <v>35251419</v>
      </c>
      <c r="K12" s="204">
        <f>+'0204'!I28</f>
        <v>17719033</v>
      </c>
      <c r="L12" s="205">
        <f>+'0204'!J28</f>
        <v>8.6446958091428008E-2</v>
      </c>
      <c r="M12" s="204">
        <f>+'0204'!K28</f>
        <v>151085048</v>
      </c>
      <c r="P12" s="234"/>
    </row>
    <row r="13" spans="1:16" ht="25.5" customHeight="1" x14ac:dyDescent="0.2">
      <c r="A13" s="202" t="s">
        <v>15</v>
      </c>
      <c r="B13" s="203" t="s">
        <v>79</v>
      </c>
      <c r="C13" s="204">
        <f>+'0205'!A30</f>
        <v>2518100000</v>
      </c>
      <c r="D13" s="204">
        <f>+'0205'!B30</f>
        <v>239777776</v>
      </c>
      <c r="E13" s="204">
        <f>+'0205'!C30</f>
        <v>0</v>
      </c>
      <c r="F13" s="204">
        <f>+'0205'!D30</f>
        <v>2757877776</v>
      </c>
      <c r="G13" s="204">
        <f>+'0205'!E30</f>
        <v>2680958622</v>
      </c>
      <c r="H13" s="205">
        <f>+'0205'!F30</f>
        <v>0.97210929553536529</v>
      </c>
      <c r="I13" s="204">
        <f>+'0205'!G30</f>
        <v>12317719</v>
      </c>
      <c r="J13" s="204">
        <f>+'0205'!H30</f>
        <v>64601435</v>
      </c>
      <c r="K13" s="204">
        <f>+'0205'!I30</f>
        <v>1902495274.6300001</v>
      </c>
      <c r="L13" s="205">
        <f>+'0205'!J30</f>
        <v>0.68984031532730261</v>
      </c>
      <c r="M13" s="204">
        <f>+'0205'!K30</f>
        <v>778463347.37</v>
      </c>
      <c r="P13" s="234"/>
    </row>
    <row r="14" spans="1:16" ht="25.5" customHeight="1" x14ac:dyDescent="0.2">
      <c r="A14" s="202" t="s">
        <v>16</v>
      </c>
      <c r="B14" s="203" t="s">
        <v>80</v>
      </c>
      <c r="C14" s="204">
        <f>+'0206'!A20</f>
        <v>818850000</v>
      </c>
      <c r="D14" s="204">
        <f>+'0206'!B20</f>
        <v>-445285170</v>
      </c>
      <c r="E14" s="204">
        <f>+'0206'!C20</f>
        <v>0</v>
      </c>
      <c r="F14" s="204">
        <f>+'0206'!D20</f>
        <v>373564830</v>
      </c>
      <c r="G14" s="204">
        <f>+'0206'!E20</f>
        <v>349421994</v>
      </c>
      <c r="H14" s="205">
        <f>+'0206'!F20</f>
        <v>0.9353717639853838</v>
      </c>
      <c r="I14" s="204">
        <f>+'0206'!G20</f>
        <v>0</v>
      </c>
      <c r="J14" s="204">
        <f>+'0206'!H20</f>
        <v>24142836</v>
      </c>
      <c r="K14" s="204">
        <f>+'0206'!I20</f>
        <v>302719403</v>
      </c>
      <c r="L14" s="205">
        <f>+'0206'!J20</f>
        <v>0.81035305973530747</v>
      </c>
      <c r="M14" s="204">
        <f>+'0206'!K20</f>
        <v>46702591</v>
      </c>
      <c r="P14" s="234"/>
    </row>
    <row r="15" spans="1:16" ht="25.5" customHeight="1" x14ac:dyDescent="0.2">
      <c r="A15" s="208" t="s">
        <v>18</v>
      </c>
      <c r="B15" s="209" t="s">
        <v>51</v>
      </c>
      <c r="C15" s="210">
        <f>SUM(C16:C19)</f>
        <v>1434800000</v>
      </c>
      <c r="D15" s="210">
        <f>SUM(D16:D19)</f>
        <v>-668492000</v>
      </c>
      <c r="E15" s="210">
        <f>SUM(E16:E19)</f>
        <v>0</v>
      </c>
      <c r="F15" s="210">
        <f>SUM(F16:F19)</f>
        <v>766308000</v>
      </c>
      <c r="G15" s="210">
        <f>SUM(G16:G19)</f>
        <v>631758554</v>
      </c>
      <c r="H15" s="211">
        <f>+G15/F15</f>
        <v>0.82441858104052157</v>
      </c>
      <c r="I15" s="210">
        <f>SUM(I16:I19)</f>
        <v>124797446</v>
      </c>
      <c r="J15" s="210">
        <f>SUM(J16:J19)</f>
        <v>9752000</v>
      </c>
      <c r="K15" s="210">
        <f>SUM(K16:K19)</f>
        <v>631758554</v>
      </c>
      <c r="L15" s="211">
        <f>+K15/F15</f>
        <v>0.82441858104052157</v>
      </c>
      <c r="M15" s="210">
        <f>SUM(M16:M19)</f>
        <v>0</v>
      </c>
    </row>
    <row r="16" spans="1:16" ht="25.5" customHeight="1" x14ac:dyDescent="0.2">
      <c r="A16" s="202" t="s">
        <v>17</v>
      </c>
      <c r="B16" s="212" t="s">
        <v>81</v>
      </c>
      <c r="C16" s="204">
        <f>+'020801'!A92</f>
        <v>609800000</v>
      </c>
      <c r="D16" s="204">
        <f>+'020801'!B92</f>
        <v>-242648700</v>
      </c>
      <c r="E16" s="204">
        <f>+'020801'!C92</f>
        <v>0</v>
      </c>
      <c r="F16" s="204">
        <f>+'020801'!D92</f>
        <v>367151300</v>
      </c>
      <c r="G16" s="204">
        <f>+'020801'!E92</f>
        <v>323608553</v>
      </c>
      <c r="H16" s="205">
        <f>+'020801'!F92</f>
        <v>0.88140380546112729</v>
      </c>
      <c r="I16" s="204">
        <f>+'020801'!G92</f>
        <v>42360898</v>
      </c>
      <c r="J16" s="204">
        <f>+'020801'!H92</f>
        <v>1181849</v>
      </c>
      <c r="K16" s="204">
        <f>+'020801'!I92</f>
        <v>323608553</v>
      </c>
      <c r="L16" s="205">
        <f>+'020801'!J92</f>
        <v>0.88140380546112729</v>
      </c>
      <c r="M16" s="204">
        <f>+'020801'!K92</f>
        <v>0</v>
      </c>
    </row>
    <row r="17" spans="1:13" ht="25.5" customHeight="1" x14ac:dyDescent="0.2">
      <c r="A17" s="202" t="s">
        <v>19</v>
      </c>
      <c r="B17" s="212" t="s">
        <v>82</v>
      </c>
      <c r="C17" s="204">
        <f>+'020802'!A76</f>
        <v>460400000</v>
      </c>
      <c r="D17" s="204">
        <f>+'020802'!B76</f>
        <v>-283389756</v>
      </c>
      <c r="E17" s="204">
        <f>+'020802'!C76</f>
        <v>0</v>
      </c>
      <c r="F17" s="204">
        <f>+'020802'!D76</f>
        <v>177010244</v>
      </c>
      <c r="G17" s="204">
        <f>+'020802'!E76</f>
        <v>117998939</v>
      </c>
      <c r="H17" s="205">
        <f>+'020802'!F76</f>
        <v>0.66662209109208392</v>
      </c>
      <c r="I17" s="204">
        <f>+'020802'!G76</f>
        <v>59011305</v>
      </c>
      <c r="J17" s="204">
        <f>+'020802'!H76</f>
        <v>0</v>
      </c>
      <c r="K17" s="204">
        <f>+'020802'!I76</f>
        <v>117998939</v>
      </c>
      <c r="L17" s="205">
        <f>+'020802'!J76</f>
        <v>0.66662209109208392</v>
      </c>
      <c r="M17" s="204">
        <f>+'020802'!K76</f>
        <v>0</v>
      </c>
    </row>
    <row r="18" spans="1:13" ht="25.5" customHeight="1" x14ac:dyDescent="0.2">
      <c r="A18" s="202" t="s">
        <v>20</v>
      </c>
      <c r="B18" s="212" t="s">
        <v>83</v>
      </c>
      <c r="C18" s="204">
        <f>+'020803'!A62</f>
        <v>55600000</v>
      </c>
      <c r="D18" s="204">
        <f>+'020803'!B62</f>
        <v>-40694000</v>
      </c>
      <c r="E18" s="204">
        <f>+'020803'!C62</f>
        <v>0</v>
      </c>
      <c r="F18" s="204">
        <f>+'020803'!D62</f>
        <v>14906000</v>
      </c>
      <c r="G18" s="204">
        <f>+'020803'!E62</f>
        <v>11407122</v>
      </c>
      <c r="H18" s="205">
        <f>+'020803'!F62</f>
        <v>0.76527049510264322</v>
      </c>
      <c r="I18" s="204">
        <f>+'020803'!G62</f>
        <v>499853</v>
      </c>
      <c r="J18" s="204">
        <f>+'020803'!H62</f>
        <v>2999025</v>
      </c>
      <c r="K18" s="204">
        <f>+'020803'!I62</f>
        <v>11407122</v>
      </c>
      <c r="L18" s="205">
        <f>+'020803'!J62</f>
        <v>0.76527049510264322</v>
      </c>
      <c r="M18" s="204">
        <f>+'020803'!K62</f>
        <v>0</v>
      </c>
    </row>
    <row r="19" spans="1:13" ht="25.5" customHeight="1" x14ac:dyDescent="0.2">
      <c r="A19" s="202" t="s">
        <v>21</v>
      </c>
      <c r="B19" s="212" t="s">
        <v>84</v>
      </c>
      <c r="C19" s="204">
        <f>+'020804'!A30</f>
        <v>309000000</v>
      </c>
      <c r="D19" s="204">
        <f>+'020804'!B30</f>
        <v>-101759544</v>
      </c>
      <c r="E19" s="204">
        <f>+'020804'!C30</f>
        <v>0</v>
      </c>
      <c r="F19" s="204">
        <f>+'020804'!D30</f>
        <v>207240456</v>
      </c>
      <c r="G19" s="204">
        <f>+'020804'!E30</f>
        <v>178743940</v>
      </c>
      <c r="H19" s="205">
        <f>+'020804'!F30</f>
        <v>0.86249540002942282</v>
      </c>
      <c r="I19" s="204">
        <f>+'020804'!G30</f>
        <v>22925390</v>
      </c>
      <c r="J19" s="204">
        <f>+'020804'!H30</f>
        <v>5571126</v>
      </c>
      <c r="K19" s="204">
        <f>+'020804'!I30</f>
        <v>178743940</v>
      </c>
      <c r="L19" s="205">
        <f>+'020804'!J30</f>
        <v>0.86249540002942282</v>
      </c>
      <c r="M19" s="204">
        <f>+'020804'!K30</f>
        <v>0</v>
      </c>
    </row>
    <row r="20" spans="1:13" ht="25.5" customHeight="1" x14ac:dyDescent="0.2">
      <c r="A20" s="202" t="s">
        <v>129</v>
      </c>
      <c r="B20" s="212" t="s">
        <v>128</v>
      </c>
      <c r="C20" s="204">
        <f>+'0209'!A21</f>
        <v>318270000</v>
      </c>
      <c r="D20" s="204">
        <f>+'0209'!B21</f>
        <v>25500000</v>
      </c>
      <c r="E20" s="204">
        <f>+'0209'!C21</f>
        <v>0</v>
      </c>
      <c r="F20" s="204">
        <f>+'0209'!D21</f>
        <v>343770000</v>
      </c>
      <c r="G20" s="204">
        <f>+'0209'!E21</f>
        <v>333200000</v>
      </c>
      <c r="H20" s="205">
        <f>+'0209'!F21</f>
        <v>0.96925269802484215</v>
      </c>
      <c r="I20" s="204">
        <f>+'0209'!G21</f>
        <v>0</v>
      </c>
      <c r="J20" s="204">
        <f>+'0209'!H21</f>
        <v>10570000</v>
      </c>
      <c r="K20" s="204">
        <f>+'0209'!I21</f>
        <v>206768437</v>
      </c>
      <c r="L20" s="205">
        <f>+'0209'!J21</f>
        <v>0.60147318556011287</v>
      </c>
      <c r="M20" s="204">
        <f>+'0209'!K21</f>
        <v>126431563</v>
      </c>
    </row>
    <row r="21" spans="1:13" ht="25.5" customHeight="1" x14ac:dyDescent="0.2">
      <c r="A21" s="202" t="s">
        <v>22</v>
      </c>
      <c r="B21" s="212" t="s">
        <v>86</v>
      </c>
      <c r="C21" s="204">
        <f>+'0210'!A141</f>
        <v>659200000</v>
      </c>
      <c r="D21" s="204">
        <f>+'0210'!B141</f>
        <v>-25500000</v>
      </c>
      <c r="E21" s="204">
        <f>+'0210'!C141</f>
        <v>0</v>
      </c>
      <c r="F21" s="204">
        <f>+'0210'!D141</f>
        <v>633700000</v>
      </c>
      <c r="G21" s="204">
        <f>+'0210'!E141</f>
        <v>533836693</v>
      </c>
      <c r="H21" s="205">
        <f>+'0210'!F141</f>
        <v>0.84241232917784437</v>
      </c>
      <c r="I21" s="204">
        <f>+'0210'!G141</f>
        <v>56000000</v>
      </c>
      <c r="J21" s="204">
        <f>+'0210'!H141</f>
        <v>43863307</v>
      </c>
      <c r="K21" s="204">
        <f>+'0210'!I141</f>
        <v>344291478</v>
      </c>
      <c r="L21" s="205">
        <f>+'0210'!J141</f>
        <v>0.54330357898059023</v>
      </c>
      <c r="M21" s="204">
        <f>+'0210'!K141</f>
        <v>189545215</v>
      </c>
    </row>
    <row r="22" spans="1:13" ht="25.5" customHeight="1" x14ac:dyDescent="0.2">
      <c r="A22" s="202" t="s">
        <v>23</v>
      </c>
      <c r="B22" s="212" t="s">
        <v>87</v>
      </c>
      <c r="C22" s="204">
        <f>+'0211'!A23</f>
        <v>100940000</v>
      </c>
      <c r="D22" s="204">
        <f>+'0211'!B23</f>
        <v>350000000</v>
      </c>
      <c r="E22" s="204">
        <f>+'0211'!C23</f>
        <v>0</v>
      </c>
      <c r="F22" s="204">
        <f>+'0211'!D23</f>
        <v>450940000</v>
      </c>
      <c r="G22" s="204">
        <f>+'0211'!E23</f>
        <v>280000000</v>
      </c>
      <c r="H22" s="205">
        <f>+'0211'!F23</f>
        <v>0.62092517851598883</v>
      </c>
      <c r="I22" s="204">
        <f>+'0211'!G23</f>
        <v>170000000</v>
      </c>
      <c r="J22" s="204">
        <f>+'0211'!H23</f>
        <v>940000</v>
      </c>
      <c r="K22" s="204">
        <f>+'0211'!I23</f>
        <v>54850233</v>
      </c>
      <c r="L22" s="205">
        <f>+'0211'!J23</f>
        <v>0.12163532398988779</v>
      </c>
      <c r="M22" s="204">
        <f>+'0211'!K23</f>
        <v>225149767</v>
      </c>
    </row>
    <row r="23" spans="1:13" ht="25.5" customHeight="1" x14ac:dyDescent="0.2">
      <c r="A23" s="202" t="s">
        <v>24</v>
      </c>
      <c r="B23" s="212" t="s">
        <v>88</v>
      </c>
      <c r="C23" s="204">
        <f>+'0212'!A23</f>
        <v>233811000</v>
      </c>
      <c r="D23" s="204">
        <f>+'0212'!B23</f>
        <v>-100000000</v>
      </c>
      <c r="E23" s="204">
        <f>+'0212'!C23</f>
        <v>0</v>
      </c>
      <c r="F23" s="204">
        <f>+'0212'!D23</f>
        <v>133811000</v>
      </c>
      <c r="G23" s="204">
        <f>+'0212'!E23</f>
        <v>90559400</v>
      </c>
      <c r="H23" s="205">
        <f>+'0212'!F23</f>
        <v>0.67677096800711456</v>
      </c>
      <c r="I23" s="204">
        <f>+'0212'!G23</f>
        <v>0</v>
      </c>
      <c r="J23" s="204">
        <f>+'0212'!H23</f>
        <v>43251600</v>
      </c>
      <c r="K23" s="204">
        <f>+'0212'!I23</f>
        <v>13717000</v>
      </c>
      <c r="L23" s="205">
        <f>+'0212'!J23</f>
        <v>0.10251025700428217</v>
      </c>
      <c r="M23" s="204">
        <f>+'0212'!K23</f>
        <v>76842400</v>
      </c>
    </row>
    <row r="24" spans="1:13" ht="25.5" customHeight="1" x14ac:dyDescent="0.2">
      <c r="A24" s="208" t="s">
        <v>139</v>
      </c>
      <c r="B24" s="209" t="s">
        <v>138</v>
      </c>
      <c r="C24" s="210">
        <f>SUM(C25:C26)</f>
        <v>202060000</v>
      </c>
      <c r="D24" s="210">
        <f>SUM(D25:D26)</f>
        <v>307377170</v>
      </c>
      <c r="E24" s="210">
        <f>SUM(E25:E26)</f>
        <v>0</v>
      </c>
      <c r="F24" s="210">
        <f>SUM(F25:F26)</f>
        <v>509437170</v>
      </c>
      <c r="G24" s="210">
        <f>SUM(G25:G26)</f>
        <v>475469030</v>
      </c>
      <c r="H24" s="211">
        <f>+G24/F24</f>
        <v>0.93332221910701962</v>
      </c>
      <c r="I24" s="210">
        <f>SUM(I25:I26)</f>
        <v>11590291</v>
      </c>
      <c r="J24" s="210">
        <f>SUM(J25:J26)</f>
        <v>22377849</v>
      </c>
      <c r="K24" s="210">
        <f>SUM(K25:K26)</f>
        <v>474947783</v>
      </c>
      <c r="L24" s="211">
        <f>+K24/F24</f>
        <v>0.93229903699410077</v>
      </c>
      <c r="M24" s="210">
        <f>SUM(M25:M26)</f>
        <v>521247</v>
      </c>
    </row>
    <row r="25" spans="1:13" ht="25.5" customHeight="1" x14ac:dyDescent="0.2">
      <c r="A25" s="202" t="s">
        <v>90</v>
      </c>
      <c r="B25" s="212" t="s">
        <v>91</v>
      </c>
      <c r="C25" s="204">
        <f>+'0301'!A35</f>
        <v>200000000</v>
      </c>
      <c r="D25" s="204">
        <f>+'0301'!B35</f>
        <v>300000000</v>
      </c>
      <c r="E25" s="204">
        <f>+'0301'!C35</f>
        <v>0</v>
      </c>
      <c r="F25" s="204">
        <f>+'0301'!D35</f>
        <v>500000000</v>
      </c>
      <c r="G25" s="204">
        <f>+'0301'!E35</f>
        <v>474956943</v>
      </c>
      <c r="H25" s="205">
        <f>+'0301'!F35</f>
        <v>0.94991388600000004</v>
      </c>
      <c r="I25" s="204">
        <f>+'0301'!G35</f>
        <v>2941840</v>
      </c>
      <c r="J25" s="207">
        <f>+'0301'!H35</f>
        <v>22101217</v>
      </c>
      <c r="K25" s="204">
        <f>+'0301'!I35</f>
        <v>474435696</v>
      </c>
      <c r="L25" s="205">
        <f>+'0301'!J35</f>
        <v>0.94887139200000004</v>
      </c>
      <c r="M25" s="204">
        <f>+'0301'!K35</f>
        <v>521247</v>
      </c>
    </row>
    <row r="26" spans="1:13" ht="25.5" customHeight="1" x14ac:dyDescent="0.2">
      <c r="A26" s="202" t="s">
        <v>25</v>
      </c>
      <c r="B26" s="212" t="s">
        <v>89</v>
      </c>
      <c r="C26" s="204">
        <f>+'0302'!A27</f>
        <v>2060000</v>
      </c>
      <c r="D26" s="204">
        <f>+'0302'!B27</f>
        <v>7377170</v>
      </c>
      <c r="E26" s="204">
        <f>+'0302'!C27</f>
        <v>0</v>
      </c>
      <c r="F26" s="204">
        <f>+'0302'!D27</f>
        <v>9437170</v>
      </c>
      <c r="G26" s="204">
        <f>+'0302'!E27</f>
        <v>512087</v>
      </c>
      <c r="H26" s="205">
        <f>+'0302'!F27</f>
        <v>5.4262771572409947E-2</v>
      </c>
      <c r="I26" s="204">
        <f>+'0302'!G27</f>
        <v>8648451</v>
      </c>
      <c r="J26" s="207">
        <f>+'0302'!H27</f>
        <v>276632</v>
      </c>
      <c r="K26" s="204">
        <f>+'0302'!I27</f>
        <v>512087</v>
      </c>
      <c r="L26" s="205">
        <f>+'0302'!J27</f>
        <v>5.4262771572409947E-2</v>
      </c>
      <c r="M26" s="204">
        <f>+'0302'!K27</f>
        <v>0</v>
      </c>
    </row>
    <row r="27" spans="1:13" ht="25.5" customHeight="1" x14ac:dyDescent="0.2">
      <c r="A27" s="213" t="s">
        <v>120</v>
      </c>
      <c r="B27" s="214" t="s">
        <v>65</v>
      </c>
      <c r="C27" s="215">
        <f>+C3+C8+C24</f>
        <v>11362882000</v>
      </c>
      <c r="D27" s="215">
        <f>+D3+D8+D24</f>
        <v>-2222224</v>
      </c>
      <c r="E27" s="215">
        <f>+E3+E8+E24</f>
        <v>0</v>
      </c>
      <c r="F27" s="215">
        <f>+F3+F8+F24</f>
        <v>11360659776</v>
      </c>
      <c r="G27" s="215">
        <f>+G3+G8+G24</f>
        <v>10451588594</v>
      </c>
      <c r="H27" s="216">
        <f>+G27/F27</f>
        <v>0.9199807757714511</v>
      </c>
      <c r="I27" s="215">
        <f>+I3+I8+I24</f>
        <v>534935208</v>
      </c>
      <c r="J27" s="215">
        <f>+J3+J8+J24</f>
        <v>374135974</v>
      </c>
      <c r="K27" s="215">
        <f>+K3+K8+K24</f>
        <v>6258103255.6300001</v>
      </c>
      <c r="L27" s="216">
        <f>+K27/F27</f>
        <v>0.55085737791836498</v>
      </c>
      <c r="M27" s="217">
        <f>+M3+M8+M24</f>
        <v>4193485338.3699999</v>
      </c>
    </row>
    <row r="28" spans="1:13" ht="25.5" customHeight="1" x14ac:dyDescent="0.2">
      <c r="A28" s="218" t="s">
        <v>121</v>
      </c>
      <c r="B28" s="219" t="s">
        <v>63</v>
      </c>
      <c r="C28" s="220">
        <f>SUM(C29:C32)</f>
        <v>76523009000</v>
      </c>
      <c r="D28" s="220">
        <f>SUM(D29:D32)</f>
        <v>0</v>
      </c>
      <c r="E28" s="220">
        <f>SUM(E29:E32)</f>
        <v>0</v>
      </c>
      <c r="F28" s="220">
        <f>SUM(F29:F32)</f>
        <v>76523009000</v>
      </c>
      <c r="G28" s="220">
        <f>SUM(G29:G32)</f>
        <v>55274573049</v>
      </c>
      <c r="H28" s="221">
        <f>+G28/F28</f>
        <v>0.72232618360577017</v>
      </c>
      <c r="I28" s="220">
        <f>SUM(I29:I32)</f>
        <v>425220468</v>
      </c>
      <c r="J28" s="220">
        <f>SUM(J29:J32)</f>
        <v>20823215483</v>
      </c>
      <c r="K28" s="220">
        <f>SUM(K29:K32)</f>
        <v>55198860114</v>
      </c>
      <c r="L28" s="221">
        <f>+K28/F28</f>
        <v>0.72133676962441451</v>
      </c>
      <c r="M28" s="220">
        <f>SUM(M29:M32)</f>
        <v>75712935</v>
      </c>
    </row>
    <row r="29" spans="1:13" ht="25.5" customHeight="1" x14ac:dyDescent="0.2">
      <c r="A29" s="218" t="s">
        <v>122</v>
      </c>
      <c r="B29" s="203" t="s">
        <v>94</v>
      </c>
      <c r="C29" s="222">
        <f>+NOMINA!A34</f>
        <v>56284117000</v>
      </c>
      <c r="D29" s="222">
        <f>+NOMINA!B34</f>
        <v>0</v>
      </c>
      <c r="E29" s="222">
        <f>+NOMINA!C34</f>
        <v>0</v>
      </c>
      <c r="F29" s="222">
        <f>+NOMINA!D34</f>
        <v>56284117000</v>
      </c>
      <c r="G29" s="222">
        <f>+NOMINA!E34</f>
        <v>43170112880</v>
      </c>
      <c r="H29" s="223">
        <f>+NOMINA!F34</f>
        <v>0.76700346707047029</v>
      </c>
      <c r="I29" s="222">
        <f>+NOMINA!G34</f>
        <v>425207403</v>
      </c>
      <c r="J29" s="222">
        <f>+NOMINA!H34</f>
        <v>12688796717</v>
      </c>
      <c r="K29" s="222">
        <f>+NOMINA!I34</f>
        <v>43170112880</v>
      </c>
      <c r="L29" s="223">
        <f>+NOMINA!J34</f>
        <v>0.76700346707047029</v>
      </c>
      <c r="M29" s="222">
        <f>+NOMINA!K34</f>
        <v>0</v>
      </c>
    </row>
    <row r="30" spans="1:13" ht="25.5" customHeight="1" x14ac:dyDescent="0.2">
      <c r="A30" s="218" t="s">
        <v>124</v>
      </c>
      <c r="B30" s="203" t="s">
        <v>95</v>
      </c>
      <c r="C30" s="222">
        <f>+HONOR!A42</f>
        <v>546106000</v>
      </c>
      <c r="D30" s="222">
        <f>+HONOR!B42</f>
        <v>0</v>
      </c>
      <c r="E30" s="222">
        <f>+HONOR!C42</f>
        <v>0</v>
      </c>
      <c r="F30" s="222">
        <f>+HONOR!D42</f>
        <v>546106000</v>
      </c>
      <c r="G30" s="222">
        <f>+HONOR!E42</f>
        <v>500285935</v>
      </c>
      <c r="H30" s="223">
        <f>+HONOR!F42</f>
        <v>0.91609675594115425</v>
      </c>
      <c r="I30" s="222">
        <f>+HONOR!G42</f>
        <v>13065</v>
      </c>
      <c r="J30" s="222">
        <f>+HONOR!H42</f>
        <v>45807000</v>
      </c>
      <c r="K30" s="222">
        <f>+HONOR!I42</f>
        <v>424573000</v>
      </c>
      <c r="L30" s="223">
        <f>+HONOR!J42</f>
        <v>0.77745529256224977</v>
      </c>
      <c r="M30" s="222">
        <f>+HONOR!K42</f>
        <v>75712935</v>
      </c>
    </row>
    <row r="31" spans="1:13" ht="25.5" customHeight="1" x14ac:dyDescent="0.2">
      <c r="A31" s="218" t="s">
        <v>153</v>
      </c>
      <c r="B31" s="203" t="s">
        <v>154</v>
      </c>
      <c r="C31" s="222">
        <f>+R.S.T.!A21</f>
        <v>26400000</v>
      </c>
      <c r="D31" s="222">
        <f>+R.S.T.!B21</f>
        <v>0</v>
      </c>
      <c r="E31" s="222">
        <f>+R.S.T.!C21</f>
        <v>0</v>
      </c>
      <c r="F31" s="222">
        <f>+R.S.T.!D21</f>
        <v>26400000</v>
      </c>
      <c r="G31" s="222">
        <f>+R.S.T.!E21</f>
        <v>0</v>
      </c>
      <c r="H31" s="223">
        <f>+R.S.T.!F21</f>
        <v>0</v>
      </c>
      <c r="I31" s="222">
        <f>+R.S.T.!G21</f>
        <v>0</v>
      </c>
      <c r="J31" s="222">
        <f>+R.S.T.!H21</f>
        <v>26400000</v>
      </c>
      <c r="K31" s="222">
        <f>+R.S.T.!I21</f>
        <v>0</v>
      </c>
      <c r="L31" s="223">
        <f>+R.S.T.!J21</f>
        <v>0</v>
      </c>
      <c r="M31" s="222">
        <f>+R.S.T.!K21</f>
        <v>0</v>
      </c>
    </row>
    <row r="32" spans="1:13" ht="25.5" customHeight="1" x14ac:dyDescent="0.2">
      <c r="A32" s="218" t="s">
        <v>123</v>
      </c>
      <c r="B32" s="203" t="s">
        <v>64</v>
      </c>
      <c r="C32" s="222">
        <f>+APORTES!A49</f>
        <v>19666386000</v>
      </c>
      <c r="D32" s="222">
        <f>+APORTES!B49</f>
        <v>0</v>
      </c>
      <c r="E32" s="222">
        <f>+APORTES!C49</f>
        <v>0</v>
      </c>
      <c r="F32" s="222">
        <f>+APORTES!D49</f>
        <v>19666386000</v>
      </c>
      <c r="G32" s="222">
        <f>+APORTES!E49</f>
        <v>11604174234</v>
      </c>
      <c r="H32" s="223">
        <f>+APORTES!F49</f>
        <v>0.59005117839139332</v>
      </c>
      <c r="I32" s="222">
        <f>+APORTES!G49</f>
        <v>0</v>
      </c>
      <c r="J32" s="222">
        <f>+APORTES!H49</f>
        <v>8062211766</v>
      </c>
      <c r="K32" s="222">
        <f>+APORTES!I49</f>
        <v>11604174234</v>
      </c>
      <c r="L32" s="223">
        <f>+APORTES!J49</f>
        <v>0.59005117839139332</v>
      </c>
      <c r="M32" s="222">
        <f>+APORTES!K49</f>
        <v>0</v>
      </c>
    </row>
    <row r="33" spans="1:14" ht="25.5" customHeight="1" x14ac:dyDescent="0.2">
      <c r="A33" s="218" t="s">
        <v>155</v>
      </c>
      <c r="B33" s="203" t="s">
        <v>156</v>
      </c>
      <c r="C33" s="222">
        <f>+PASIVOS!A23</f>
        <v>0</v>
      </c>
      <c r="D33" s="222">
        <f>+PASIVOS!B23</f>
        <v>2222224</v>
      </c>
      <c r="E33" s="222">
        <f>+PASIVOS!C23</f>
        <v>0</v>
      </c>
      <c r="F33" s="222">
        <f>+PASIVOS!D23</f>
        <v>2222224</v>
      </c>
      <c r="G33" s="222">
        <f>+PASIVOS!E23</f>
        <v>2222224</v>
      </c>
      <c r="H33" s="205">
        <f>+PASIVOS!F23</f>
        <v>0</v>
      </c>
      <c r="I33" s="222">
        <f>+PASIVOS!G23</f>
        <v>0</v>
      </c>
      <c r="J33" s="222">
        <f>+PASIVOS!H23</f>
        <v>0</v>
      </c>
      <c r="K33" s="222">
        <f>+PASIVOS!I23</f>
        <v>2222224</v>
      </c>
      <c r="L33" s="205">
        <f>+PASIVOS!J23</f>
        <v>0</v>
      </c>
      <c r="M33" s="222">
        <f>+PASIVOS!K23</f>
        <v>0</v>
      </c>
    </row>
    <row r="34" spans="1:14" ht="25.5" customHeight="1" x14ac:dyDescent="0.2">
      <c r="A34" s="224" t="s">
        <v>125</v>
      </c>
      <c r="B34" s="225" t="s">
        <v>66</v>
      </c>
      <c r="C34" s="226">
        <f>+C27+C28+C33</f>
        <v>87885891000</v>
      </c>
      <c r="D34" s="226">
        <f>+D27+D28+D33</f>
        <v>0</v>
      </c>
      <c r="E34" s="226">
        <f>+E27+E28+E33</f>
        <v>0</v>
      </c>
      <c r="F34" s="226">
        <f>+F27+F28+F33</f>
        <v>87885891000</v>
      </c>
      <c r="G34" s="227">
        <f>+G27+G28+G33</f>
        <v>65728383867</v>
      </c>
      <c r="H34" s="228">
        <f>+G34/F34</f>
        <v>0.74788322811678609</v>
      </c>
      <c r="I34" s="229">
        <f>+I27+I28+I33</f>
        <v>960155676</v>
      </c>
      <c r="J34" s="226">
        <f>+J27+J28+J33</f>
        <v>21197351457</v>
      </c>
      <c r="K34" s="230">
        <f>+K27+K28+K33</f>
        <v>61459185593.629997</v>
      </c>
      <c r="L34" s="228">
        <f>+K34/F34</f>
        <v>0.69930662242054298</v>
      </c>
      <c r="M34" s="226">
        <f>+M27+M28+M33</f>
        <v>4269198273.3699999</v>
      </c>
    </row>
    <row r="36" spans="1:14" x14ac:dyDescent="0.2">
      <c r="C36" s="234"/>
      <c r="D36" s="234"/>
      <c r="E36" s="234"/>
      <c r="F36" s="234"/>
      <c r="G36" s="234"/>
      <c r="H36" s="234"/>
      <c r="I36" s="234"/>
      <c r="J36" s="234"/>
      <c r="K36" s="234"/>
      <c r="L36" s="234"/>
      <c r="M36" s="234"/>
    </row>
    <row r="37" spans="1:14" x14ac:dyDescent="0.2">
      <c r="C37" s="234"/>
      <c r="D37" s="234"/>
      <c r="E37" s="234"/>
      <c r="F37" s="234"/>
      <c r="G37" s="234"/>
      <c r="H37" s="234"/>
      <c r="I37" s="234"/>
      <c r="J37" s="234"/>
      <c r="K37" s="234"/>
      <c r="L37" s="234"/>
      <c r="M37" s="234"/>
    </row>
    <row r="38" spans="1:14" x14ac:dyDescent="0.2">
      <c r="C38" s="234"/>
      <c r="D38" s="234"/>
      <c r="E38" s="234"/>
      <c r="F38" s="234"/>
      <c r="G38" s="234"/>
      <c r="H38" s="234"/>
      <c r="I38" s="234"/>
      <c r="J38" s="234"/>
      <c r="K38" s="234"/>
      <c r="L38" s="234"/>
      <c r="M38" s="234"/>
      <c r="N38" s="234"/>
    </row>
    <row r="40" spans="1:14" x14ac:dyDescent="0.2">
      <c r="C40" s="234"/>
      <c r="D40" s="234"/>
      <c r="E40" s="234"/>
      <c r="F40" s="234"/>
      <c r="G40" s="234"/>
      <c r="H40" s="234"/>
      <c r="I40" s="234"/>
      <c r="J40" s="234"/>
      <c r="K40" s="234"/>
      <c r="L40" s="234"/>
      <c r="M40" s="234"/>
    </row>
    <row r="43" spans="1:14" x14ac:dyDescent="0.2">
      <c r="M43" s="234"/>
    </row>
  </sheetData>
  <phoneticPr fontId="0" type="noConversion"/>
  <printOptions horizontalCentered="1" verticalCentered="1"/>
  <pageMargins left="0.19685039370078741" right="0.19685039370078741" top="0.19685039370078741" bottom="0.19685039370078741" header="0" footer="0"/>
  <pageSetup scale="60" orientation="landscape" horizontalDpi="4294967293"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96</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84" t="s">
        <v>145</v>
      </c>
      <c r="H4" s="1"/>
    </row>
    <row r="5" spans="1:8" ht="30" customHeight="1" x14ac:dyDescent="0.25">
      <c r="A5" s="5" t="s">
        <v>55</v>
      </c>
      <c r="B5" s="5" t="s">
        <v>67</v>
      </c>
      <c r="C5" s="6" t="s">
        <v>140</v>
      </c>
      <c r="D5" s="6" t="s">
        <v>141</v>
      </c>
      <c r="E5" s="6" t="s">
        <v>142</v>
      </c>
      <c r="F5" s="6" t="s">
        <v>144</v>
      </c>
      <c r="G5" s="6" t="s">
        <v>143</v>
      </c>
      <c r="H5" s="6" t="s">
        <v>144</v>
      </c>
    </row>
    <row r="6" spans="1:8" ht="24.95" customHeight="1" x14ac:dyDescent="0.25">
      <c r="A6" s="7" t="s">
        <v>8</v>
      </c>
      <c r="B6" s="8" t="s">
        <v>5</v>
      </c>
      <c r="C6" s="23">
        <f t="shared" ref="C6:H6" si="0">SUM(C7:C10)</f>
        <v>3547994000</v>
      </c>
      <c r="D6" s="23">
        <f t="shared" si="0"/>
        <v>1017020184.09</v>
      </c>
      <c r="E6" s="23">
        <f t="shared" si="0"/>
        <v>709598800</v>
      </c>
      <c r="F6" s="23">
        <f t="shared" si="0"/>
        <v>2838395200</v>
      </c>
      <c r="G6" s="23">
        <f t="shared" si="0"/>
        <v>886998500</v>
      </c>
      <c r="H6" s="23">
        <f t="shared" si="0"/>
        <v>2660995500</v>
      </c>
    </row>
    <row r="7" spans="1:8" ht="24.95" customHeight="1" x14ac:dyDescent="0.25">
      <c r="A7" s="9" t="s">
        <v>7</v>
      </c>
      <c r="B7" s="10" t="s">
        <v>73</v>
      </c>
      <c r="C7" s="24">
        <f>+'0101'!A23</f>
        <v>109000000</v>
      </c>
      <c r="D7" s="24">
        <v>266514177</v>
      </c>
      <c r="E7" s="24">
        <f t="shared" ref="E7:E21" si="1">+C7*20%</f>
        <v>21800000</v>
      </c>
      <c r="F7" s="24">
        <f>+C7-E7</f>
        <v>87200000</v>
      </c>
      <c r="G7" s="24">
        <f>+C7*25%</f>
        <v>27250000</v>
      </c>
      <c r="H7" s="24">
        <f>+C7-G7</f>
        <v>81750000</v>
      </c>
    </row>
    <row r="8" spans="1:8" ht="24.95" customHeight="1" x14ac:dyDescent="0.25">
      <c r="A8" s="9" t="s">
        <v>9</v>
      </c>
      <c r="B8" s="10" t="s">
        <v>74</v>
      </c>
      <c r="C8" s="24">
        <f>+'0102'!A36</f>
        <v>2780000000</v>
      </c>
      <c r="D8" s="24">
        <v>541863215.74000001</v>
      </c>
      <c r="E8" s="186">
        <f t="shared" si="1"/>
        <v>556000000</v>
      </c>
      <c r="F8" s="24">
        <f t="shared" ref="F8:F34" si="2">+C8-E8</f>
        <v>2224000000</v>
      </c>
      <c r="G8" s="24">
        <f t="shared" ref="G8:G22" si="3">+C8*25%</f>
        <v>695000000</v>
      </c>
      <c r="H8" s="24">
        <f>+C8-G8</f>
        <v>2085000000</v>
      </c>
    </row>
    <row r="9" spans="1:8" ht="24.95" customHeight="1" x14ac:dyDescent="0.25">
      <c r="A9" s="9" t="s">
        <v>10</v>
      </c>
      <c r="B9" s="10" t="s">
        <v>75</v>
      </c>
      <c r="C9" s="24">
        <f>+'0103'!A25</f>
        <v>133600000</v>
      </c>
      <c r="D9" s="24">
        <v>57133301</v>
      </c>
      <c r="E9" s="24">
        <f t="shared" si="1"/>
        <v>26720000</v>
      </c>
      <c r="F9" s="24">
        <f t="shared" si="2"/>
        <v>106880000</v>
      </c>
      <c r="G9" s="24">
        <f t="shared" si="3"/>
        <v>33400000</v>
      </c>
      <c r="H9" s="24">
        <f>+C9-G9</f>
        <v>100200000</v>
      </c>
    </row>
    <row r="10" spans="1:8" ht="24.95" customHeight="1" x14ac:dyDescent="0.25">
      <c r="A10" s="9" t="s">
        <v>11</v>
      </c>
      <c r="B10" s="10" t="s">
        <v>76</v>
      </c>
      <c r="C10" s="24">
        <f>+'0104'!A30</f>
        <v>525394000</v>
      </c>
      <c r="D10" s="24">
        <v>151509490.34999999</v>
      </c>
      <c r="E10" s="24">
        <f t="shared" si="1"/>
        <v>105078800</v>
      </c>
      <c r="F10" s="24">
        <f t="shared" si="2"/>
        <v>420315200</v>
      </c>
      <c r="G10" s="24">
        <f t="shared" si="3"/>
        <v>131348500</v>
      </c>
      <c r="H10" s="24">
        <f>+C10-G10</f>
        <v>394045500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136</v>
      </c>
      <c r="B12" s="10" t="s">
        <v>137</v>
      </c>
      <c r="C12" s="24">
        <f>+'0201'!A22</f>
        <v>120800000</v>
      </c>
      <c r="D12" s="24">
        <v>27363048</v>
      </c>
      <c r="E12" s="24">
        <f t="shared" si="1"/>
        <v>24160000</v>
      </c>
      <c r="F12" s="24">
        <f t="shared" si="2"/>
        <v>96640000</v>
      </c>
      <c r="G12" s="24">
        <f t="shared" si="3"/>
        <v>30200000</v>
      </c>
      <c r="H12" s="24">
        <f>+C12-G12</f>
        <v>90600000</v>
      </c>
    </row>
    <row r="13" spans="1:8" ht="24.95" customHeight="1" x14ac:dyDescent="0.25">
      <c r="A13" s="9" t="s">
        <v>13</v>
      </c>
      <c r="B13" s="10" t="s">
        <v>77</v>
      </c>
      <c r="C13" s="24">
        <f>+'0203'!A51</f>
        <v>1203087000</v>
      </c>
      <c r="D13" s="11">
        <v>593143381.74000001</v>
      </c>
      <c r="E13" s="24">
        <f t="shared" si="1"/>
        <v>240617400</v>
      </c>
      <c r="F13" s="24">
        <f t="shared" si="2"/>
        <v>962469600</v>
      </c>
      <c r="G13" s="24">
        <f t="shared" si="3"/>
        <v>300771750</v>
      </c>
      <c r="H13" s="24">
        <f>+C13-G13</f>
        <v>902315250</v>
      </c>
    </row>
    <row r="14" spans="1:8" ht="24.95" customHeight="1" x14ac:dyDescent="0.25">
      <c r="A14" s="9" t="s">
        <v>14</v>
      </c>
      <c r="B14" s="10" t="s">
        <v>78</v>
      </c>
      <c r="C14" s="24">
        <f>+'0204'!A28</f>
        <v>204970000</v>
      </c>
      <c r="D14" s="24">
        <v>107003600</v>
      </c>
      <c r="E14" s="24">
        <f t="shared" si="1"/>
        <v>40994000</v>
      </c>
      <c r="F14" s="24">
        <f t="shared" si="2"/>
        <v>163976000</v>
      </c>
      <c r="G14" s="24">
        <f t="shared" si="3"/>
        <v>51242500</v>
      </c>
      <c r="H14" s="24">
        <f>+C14-G14</f>
        <v>153727500</v>
      </c>
    </row>
    <row r="15" spans="1:8" ht="24.95" customHeight="1" x14ac:dyDescent="0.25">
      <c r="A15" s="9" t="s">
        <v>15</v>
      </c>
      <c r="B15" s="10" t="s">
        <v>79</v>
      </c>
      <c r="C15" s="24">
        <f>+'0205'!A30</f>
        <v>2518100000</v>
      </c>
      <c r="D15" s="11">
        <v>704880523.60000002</v>
      </c>
      <c r="E15" s="24">
        <f t="shared" si="1"/>
        <v>503620000</v>
      </c>
      <c r="F15" s="24">
        <f t="shared" si="2"/>
        <v>2014480000</v>
      </c>
      <c r="G15" s="24">
        <f t="shared" si="3"/>
        <v>629525000</v>
      </c>
      <c r="H15" s="24">
        <f>+C15-G15</f>
        <v>1888575000</v>
      </c>
    </row>
    <row r="16" spans="1:8" ht="24.95" customHeight="1" x14ac:dyDescent="0.25">
      <c r="A16" s="9" t="s">
        <v>16</v>
      </c>
      <c r="B16" s="10" t="s">
        <v>80</v>
      </c>
      <c r="C16" s="24">
        <f>+'0206'!A20</f>
        <v>818850000</v>
      </c>
      <c r="D16" s="24">
        <v>6160723</v>
      </c>
      <c r="E16" s="24">
        <f t="shared" si="1"/>
        <v>163770000</v>
      </c>
      <c r="F16" s="24">
        <f t="shared" si="2"/>
        <v>655080000</v>
      </c>
      <c r="G16" s="24">
        <f t="shared" si="3"/>
        <v>204712500</v>
      </c>
      <c r="H16" s="24">
        <f>+C16-G16</f>
        <v>614137500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+'020801'!A92</f>
        <v>609800000</v>
      </c>
      <c r="D18" s="24">
        <v>0</v>
      </c>
      <c r="E18" s="24">
        <f t="shared" si="1"/>
        <v>121960000</v>
      </c>
      <c r="F18" s="24">
        <f t="shared" si="2"/>
        <v>487840000</v>
      </c>
      <c r="G18" s="24">
        <f t="shared" si="3"/>
        <v>152450000</v>
      </c>
      <c r="H18" s="24">
        <f t="shared" ref="H18:H26" si="6">+C18-G18</f>
        <v>457350000</v>
      </c>
    </row>
    <row r="19" spans="1:8" ht="24.95" customHeight="1" x14ac:dyDescent="0.25">
      <c r="A19" s="9" t="s">
        <v>19</v>
      </c>
      <c r="B19" s="15" t="s">
        <v>82</v>
      </c>
      <c r="C19" s="24">
        <f>+'020802'!A76</f>
        <v>460400000</v>
      </c>
      <c r="D19" s="24">
        <v>0</v>
      </c>
      <c r="E19" s="24">
        <f t="shared" si="1"/>
        <v>92080000</v>
      </c>
      <c r="F19" s="24">
        <f t="shared" si="2"/>
        <v>368320000</v>
      </c>
      <c r="G19" s="24">
        <f t="shared" si="3"/>
        <v>115100000</v>
      </c>
      <c r="H19" s="24">
        <f t="shared" si="6"/>
        <v>345300000</v>
      </c>
    </row>
    <row r="20" spans="1:8" ht="24.95" customHeight="1" x14ac:dyDescent="0.25">
      <c r="A20" s="9" t="s">
        <v>20</v>
      </c>
      <c r="B20" s="15" t="s">
        <v>83</v>
      </c>
      <c r="C20" s="24">
        <f>+'020803'!A62</f>
        <v>55600000</v>
      </c>
      <c r="D20" s="24">
        <v>0</v>
      </c>
      <c r="E20" s="24">
        <f t="shared" si="1"/>
        <v>11120000</v>
      </c>
      <c r="F20" s="24">
        <f t="shared" si="2"/>
        <v>44480000</v>
      </c>
      <c r="G20" s="24">
        <f t="shared" si="3"/>
        <v>13900000</v>
      </c>
      <c r="H20" s="24">
        <f t="shared" si="6"/>
        <v>41700000</v>
      </c>
    </row>
    <row r="21" spans="1:8" ht="24.95" customHeight="1" x14ac:dyDescent="0.25">
      <c r="A21" s="9" t="s">
        <v>21</v>
      </c>
      <c r="B21" s="15" t="s">
        <v>84</v>
      </c>
      <c r="C21" s="24">
        <f>+'020804'!A30</f>
        <v>309000000</v>
      </c>
      <c r="D21" s="24">
        <v>0</v>
      </c>
      <c r="E21" s="24">
        <f t="shared" si="1"/>
        <v>61800000</v>
      </c>
      <c r="F21" s="24">
        <f t="shared" si="2"/>
        <v>247200000</v>
      </c>
      <c r="G21" s="24">
        <f t="shared" si="3"/>
        <v>77250000</v>
      </c>
      <c r="H21" s="24">
        <f t="shared" si="6"/>
        <v>231750000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129</v>
      </c>
      <c r="B23" s="15" t="s">
        <v>128</v>
      </c>
      <c r="C23" s="24">
        <f>+'0209'!A21</f>
        <v>318270000</v>
      </c>
      <c r="D23" s="24">
        <v>0</v>
      </c>
      <c r="E23" s="24">
        <f>+C23*20%</f>
        <v>63654000</v>
      </c>
      <c r="F23" s="24">
        <f t="shared" si="2"/>
        <v>254616000</v>
      </c>
      <c r="G23" s="24">
        <f>+C23*25%</f>
        <v>79567500</v>
      </c>
      <c r="H23" s="24">
        <f t="shared" si="6"/>
        <v>238702500</v>
      </c>
    </row>
    <row r="24" spans="1:8" ht="24.95" customHeight="1" x14ac:dyDescent="0.25">
      <c r="A24" s="9" t="s">
        <v>22</v>
      </c>
      <c r="B24" s="15" t="s">
        <v>86</v>
      </c>
      <c r="C24" s="24">
        <f>+'0210'!A141</f>
        <v>659200000</v>
      </c>
      <c r="D24" s="24">
        <v>411570406</v>
      </c>
      <c r="E24" s="24">
        <f>+C24*20%</f>
        <v>131840000</v>
      </c>
      <c r="F24" s="24">
        <f t="shared" si="2"/>
        <v>527360000</v>
      </c>
      <c r="G24" s="24">
        <f>+C24*25%</f>
        <v>164800000</v>
      </c>
      <c r="H24" s="24">
        <f t="shared" si="6"/>
        <v>494400000</v>
      </c>
    </row>
    <row r="25" spans="1:8" ht="24.95" customHeight="1" x14ac:dyDescent="0.25">
      <c r="A25" s="9" t="s">
        <v>23</v>
      </c>
      <c r="B25" s="15" t="s">
        <v>87</v>
      </c>
      <c r="C25" s="24">
        <f>+'0211'!A23</f>
        <v>100940000</v>
      </c>
      <c r="D25" s="24">
        <v>10638608</v>
      </c>
      <c r="E25" s="186">
        <f>+C25*20%</f>
        <v>20188000</v>
      </c>
      <c r="F25" s="24">
        <f t="shared" si="2"/>
        <v>80752000</v>
      </c>
      <c r="G25" s="24">
        <f>+C25*25%</f>
        <v>25235000</v>
      </c>
      <c r="H25" s="24">
        <f t="shared" si="6"/>
        <v>75705000</v>
      </c>
    </row>
    <row r="26" spans="1:8" ht="24.95" customHeight="1" x14ac:dyDescent="0.25">
      <c r="A26" s="9" t="s">
        <v>24</v>
      </c>
      <c r="B26" s="15" t="s">
        <v>88</v>
      </c>
      <c r="C26" s="24">
        <f>+'0212'!A23</f>
        <v>233811000</v>
      </c>
      <c r="D26" s="24">
        <v>142313909</v>
      </c>
      <c r="E26" s="24">
        <f>+C26*20%</f>
        <v>46762200</v>
      </c>
      <c r="F26" s="24">
        <f t="shared" si="2"/>
        <v>187048800</v>
      </c>
      <c r="G26" s="24">
        <f>+C26*25%</f>
        <v>58452750</v>
      </c>
      <c r="H26" s="24">
        <f t="shared" si="6"/>
        <v>175358250</v>
      </c>
    </row>
    <row r="27" spans="1:8" ht="24.95" customHeight="1" x14ac:dyDescent="0.25">
      <c r="A27" s="12" t="s">
        <v>139</v>
      </c>
      <c r="B27" s="13" t="s">
        <v>138</v>
      </c>
      <c r="C27" s="25">
        <f t="shared" ref="C27:H27" si="7">SUM(C28:C29)</f>
        <v>202060000</v>
      </c>
      <c r="D27" s="25">
        <f t="shared" si="7"/>
        <v>0</v>
      </c>
      <c r="E27" s="25">
        <f t="shared" si="7"/>
        <v>412000</v>
      </c>
      <c r="F27" s="25">
        <f t="shared" si="7"/>
        <v>201648000</v>
      </c>
      <c r="G27" s="25">
        <f t="shared" si="7"/>
        <v>515000</v>
      </c>
      <c r="H27" s="25">
        <f t="shared" si="7"/>
        <v>201545000</v>
      </c>
    </row>
    <row r="28" spans="1:8" ht="24.95" customHeight="1" x14ac:dyDescent="0.25">
      <c r="A28" s="9" t="s">
        <v>90</v>
      </c>
      <c r="B28" s="15" t="s">
        <v>91</v>
      </c>
      <c r="C28" s="24">
        <f>+'0301'!A35</f>
        <v>200000000</v>
      </c>
      <c r="D28" s="24">
        <v>0</v>
      </c>
      <c r="E28" s="24">
        <v>0</v>
      </c>
      <c r="F28" s="24">
        <f t="shared" si="2"/>
        <v>200000000</v>
      </c>
      <c r="G28" s="24">
        <v>0</v>
      </c>
      <c r="H28" s="24">
        <f>+C28-G28</f>
        <v>200000000</v>
      </c>
    </row>
    <row r="29" spans="1:8" ht="24.95" customHeight="1" x14ac:dyDescent="0.25">
      <c r="A29" s="9" t="s">
        <v>25</v>
      </c>
      <c r="B29" s="15" t="s">
        <v>89</v>
      </c>
      <c r="C29" s="24">
        <f>+'0302'!A27</f>
        <v>2060000</v>
      </c>
      <c r="D29" s="24">
        <v>0</v>
      </c>
      <c r="E29" s="24">
        <f>+C29*20%</f>
        <v>412000</v>
      </c>
      <c r="F29" s="24">
        <f t="shared" si="2"/>
        <v>1648000</v>
      </c>
      <c r="G29" s="24">
        <f>+C29*25%</f>
        <v>515000</v>
      </c>
      <c r="H29" s="24">
        <f>+C29-G29</f>
        <v>1545000</v>
      </c>
    </row>
    <row r="30" spans="1:8" ht="24.95" customHeight="1" x14ac:dyDescent="0.25">
      <c r="A30" s="16" t="s">
        <v>120</v>
      </c>
      <c r="B30" s="17" t="s">
        <v>65</v>
      </c>
      <c r="C30" s="26" t="e">
        <f t="shared" ref="C30:H30" si="8">+C6+C11+C27</f>
        <v>#REF!</v>
      </c>
      <c r="D30" s="180">
        <f t="shared" si="8"/>
        <v>3020094383.4300003</v>
      </c>
      <c r="E30" s="26" t="e">
        <f t="shared" si="8"/>
        <v>#REF!</v>
      </c>
      <c r="F30" s="26" t="e">
        <f t="shared" si="8"/>
        <v>#REF!</v>
      </c>
      <c r="G30" s="180" t="e">
        <f t="shared" si="8"/>
        <v>#REF!</v>
      </c>
      <c r="H30" s="26" t="e">
        <f t="shared" si="8"/>
        <v>#REF!</v>
      </c>
    </row>
    <row r="31" spans="1:8" ht="24.95" customHeight="1" x14ac:dyDescent="0.25">
      <c r="A31" s="18" t="s">
        <v>121</v>
      </c>
      <c r="B31" s="19" t="s">
        <v>63</v>
      </c>
      <c r="C31" s="27">
        <f t="shared" ref="C31:H31" si="9">SUM(C32:C34)</f>
        <v>76496609000</v>
      </c>
      <c r="D31" s="27">
        <f t="shared" si="9"/>
        <v>71050067</v>
      </c>
      <c r="E31" s="27">
        <f t="shared" si="9"/>
        <v>3147241320</v>
      </c>
      <c r="F31" s="27">
        <f t="shared" si="9"/>
        <v>73349367680</v>
      </c>
      <c r="G31" s="27">
        <f t="shared" si="9"/>
        <v>3174546620</v>
      </c>
      <c r="H31" s="27">
        <f t="shared" si="9"/>
        <v>73322062380</v>
      </c>
    </row>
    <row r="32" spans="1:8" ht="24.95" customHeight="1" x14ac:dyDescent="0.25">
      <c r="A32" s="18" t="s">
        <v>122</v>
      </c>
      <c r="B32" s="10" t="s">
        <v>146</v>
      </c>
      <c r="C32" s="28">
        <f>+NOMINA!A34</f>
        <v>56284117000</v>
      </c>
      <c r="D32" s="28">
        <v>0</v>
      </c>
      <c r="E32" s="28">
        <f>+C32*4%</f>
        <v>2251364680</v>
      </c>
      <c r="F32" s="28">
        <f t="shared" si="2"/>
        <v>54032752320</v>
      </c>
      <c r="G32" s="28">
        <f>+C32*4%</f>
        <v>2251364680</v>
      </c>
      <c r="H32" s="28">
        <f>+C32-G32</f>
        <v>54032752320</v>
      </c>
    </row>
    <row r="33" spans="1:8" ht="24.95" customHeight="1" x14ac:dyDescent="0.25">
      <c r="A33" s="18" t="s">
        <v>124</v>
      </c>
      <c r="B33" s="10" t="s">
        <v>95</v>
      </c>
      <c r="C33" s="28">
        <f>+HONOR!A42</f>
        <v>546106000</v>
      </c>
      <c r="D33" s="28">
        <v>30786667</v>
      </c>
      <c r="E33" s="28">
        <f>+C33*20%</f>
        <v>109221200</v>
      </c>
      <c r="F33" s="28">
        <f t="shared" si="2"/>
        <v>436884800</v>
      </c>
      <c r="G33" s="28">
        <f>+C33*25%</f>
        <v>136526500</v>
      </c>
      <c r="H33" s="28">
        <f>+C33-G33</f>
        <v>409579500</v>
      </c>
    </row>
    <row r="34" spans="1:8" ht="24.95" customHeight="1" x14ac:dyDescent="0.25">
      <c r="A34" s="18" t="s">
        <v>123</v>
      </c>
      <c r="B34" s="10" t="s">
        <v>147</v>
      </c>
      <c r="C34" s="28">
        <f>+APORTES!A49</f>
        <v>19666386000</v>
      </c>
      <c r="D34" s="28">
        <v>40263400</v>
      </c>
      <c r="E34" s="28">
        <f>+C34*4%</f>
        <v>786655440</v>
      </c>
      <c r="F34" s="28">
        <f t="shared" si="2"/>
        <v>18879730560</v>
      </c>
      <c r="G34" s="28">
        <f>+C34*4%</f>
        <v>786655440</v>
      </c>
      <c r="H34" s="28">
        <f>+C34-G34</f>
        <v>18879730560</v>
      </c>
    </row>
    <row r="35" spans="1:8" ht="24.95" customHeight="1" x14ac:dyDescent="0.25">
      <c r="A35" s="20" t="s">
        <v>125</v>
      </c>
      <c r="B35" s="21" t="s">
        <v>66</v>
      </c>
      <c r="C35" s="29" t="e">
        <f t="shared" ref="C35:H35" si="10">+C30+C31</f>
        <v>#REF!</v>
      </c>
      <c r="D35" s="183">
        <f t="shared" si="10"/>
        <v>3091144450.4300003</v>
      </c>
      <c r="E35" s="29" t="e">
        <f t="shared" si="10"/>
        <v>#REF!</v>
      </c>
      <c r="F35" s="29" t="e">
        <f t="shared" si="10"/>
        <v>#REF!</v>
      </c>
      <c r="G35" s="183" t="e">
        <f t="shared" si="10"/>
        <v>#REF!</v>
      </c>
      <c r="H35" s="29" t="e">
        <f t="shared" si="10"/>
        <v>#REF!</v>
      </c>
    </row>
    <row r="36" spans="1:8" x14ac:dyDescent="0.25">
      <c r="B36" s="2" t="s">
        <v>148</v>
      </c>
      <c r="H36" s="166"/>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activeCell="B24" sqref="B24"/>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103</v>
      </c>
      <c r="B3" s="34" t="s">
        <v>45</v>
      </c>
      <c r="C3" s="34"/>
      <c r="D3" s="34"/>
      <c r="E3" s="35"/>
      <c r="F3" s="35"/>
      <c r="G3" s="35"/>
      <c r="H3" s="35"/>
      <c r="I3" s="35"/>
      <c r="J3" s="36"/>
      <c r="K3" s="36"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150">
        <v>43062</v>
      </c>
      <c r="B7" s="150" t="s">
        <v>303</v>
      </c>
      <c r="C7" s="49"/>
      <c r="D7" s="50">
        <v>1007</v>
      </c>
      <c r="E7" s="44" t="s">
        <v>1199</v>
      </c>
      <c r="F7" s="37"/>
      <c r="G7" s="51"/>
      <c r="H7" s="52"/>
      <c r="I7" s="75">
        <v>2006927</v>
      </c>
      <c r="J7" s="44"/>
      <c r="K7" s="49"/>
    </row>
    <row r="8" spans="1:11" ht="12.75" customHeight="1" x14ac:dyDescent="0.25">
      <c r="A8" s="48"/>
      <c r="B8" s="53"/>
      <c r="C8" s="54"/>
      <c r="D8" s="44"/>
      <c r="E8" s="44"/>
      <c r="F8" s="37"/>
      <c r="G8" s="51"/>
      <c r="H8" s="52"/>
      <c r="I8" s="76"/>
      <c r="J8" s="44"/>
      <c r="K8" s="49"/>
    </row>
    <row r="9" spans="1:11" x14ac:dyDescent="0.25">
      <c r="A9" s="55"/>
      <c r="B9" s="56"/>
      <c r="C9" s="56"/>
      <c r="D9" s="56"/>
      <c r="E9" s="56"/>
      <c r="F9" s="56"/>
      <c r="G9" s="527" t="s">
        <v>132</v>
      </c>
      <c r="H9" s="528"/>
      <c r="I9" s="77">
        <f>SUM(I7:I8)</f>
        <v>2006927</v>
      </c>
      <c r="J9" s="57"/>
      <c r="K9" s="58"/>
    </row>
    <row r="10" spans="1:11" ht="12.75" customHeight="1" x14ac:dyDescent="0.25">
      <c r="A10" s="3"/>
      <c r="B10" s="3"/>
      <c r="C10" s="3"/>
      <c r="D10" s="3"/>
      <c r="E10" s="3"/>
      <c r="F10" s="3"/>
      <c r="G10" s="3"/>
      <c r="H10" s="3"/>
      <c r="I10" s="3"/>
      <c r="J10" s="37"/>
      <c r="K10" s="49"/>
    </row>
    <row r="11" spans="1:11" x14ac:dyDescent="0.25">
      <c r="A11" s="529" t="s">
        <v>28</v>
      </c>
      <c r="B11" s="30" t="s">
        <v>38</v>
      </c>
      <c r="C11" s="60" t="s">
        <v>34</v>
      </c>
      <c r="D11" s="59" t="s">
        <v>34</v>
      </c>
      <c r="E11" s="533" t="s">
        <v>40</v>
      </c>
      <c r="F11" s="534"/>
      <c r="G11" s="534"/>
      <c r="H11" s="535"/>
      <c r="I11" s="529" t="s">
        <v>31</v>
      </c>
      <c r="J11" s="529" t="s">
        <v>29</v>
      </c>
      <c r="K11" s="60" t="s">
        <v>56</v>
      </c>
    </row>
    <row r="12" spans="1:11" x14ac:dyDescent="0.25">
      <c r="A12" s="530"/>
      <c r="B12" s="61" t="s">
        <v>39</v>
      </c>
      <c r="C12" s="61" t="s">
        <v>36</v>
      </c>
      <c r="D12" s="61" t="s">
        <v>35</v>
      </c>
      <c r="E12" s="533" t="s">
        <v>33</v>
      </c>
      <c r="F12" s="535"/>
      <c r="G12" s="533" t="s">
        <v>32</v>
      </c>
      <c r="H12" s="535"/>
      <c r="I12" s="530"/>
      <c r="J12" s="530"/>
      <c r="K12" s="61" t="s">
        <v>57</v>
      </c>
    </row>
    <row r="13" spans="1:11" ht="12.75" customHeight="1" x14ac:dyDescent="0.25">
      <c r="A13" s="41"/>
      <c r="B13" s="41"/>
      <c r="C13" s="41"/>
      <c r="D13" s="41"/>
      <c r="E13" s="44"/>
      <c r="F13" s="49"/>
      <c r="G13" s="44"/>
      <c r="H13" s="49"/>
      <c r="I13" s="62"/>
      <c r="J13" s="62"/>
      <c r="K13" s="62"/>
    </row>
    <row r="14" spans="1:11" x14ac:dyDescent="0.25">
      <c r="A14" s="89">
        <v>42915</v>
      </c>
      <c r="B14" s="63" t="s">
        <v>567</v>
      </c>
      <c r="C14" s="64">
        <v>693</v>
      </c>
      <c r="D14" s="64">
        <v>813</v>
      </c>
      <c r="E14" s="44" t="s">
        <v>568</v>
      </c>
      <c r="F14" s="49"/>
      <c r="G14" s="65" t="s">
        <v>569</v>
      </c>
      <c r="H14" s="66"/>
      <c r="I14" s="78">
        <v>15441302</v>
      </c>
      <c r="J14" s="78">
        <v>10294201</v>
      </c>
      <c r="K14" s="78">
        <f>+I14-J14</f>
        <v>5147101</v>
      </c>
    </row>
    <row r="15" spans="1:11" x14ac:dyDescent="0.25">
      <c r="A15" s="89">
        <v>42972</v>
      </c>
      <c r="B15" s="63" t="s">
        <v>761</v>
      </c>
      <c r="C15" s="64">
        <v>711</v>
      </c>
      <c r="D15" s="64">
        <v>932</v>
      </c>
      <c r="E15" s="44" t="s">
        <v>762</v>
      </c>
      <c r="F15" s="49"/>
      <c r="G15" s="65" t="s">
        <v>763</v>
      </c>
      <c r="H15" s="66"/>
      <c r="I15" s="79">
        <v>6525000</v>
      </c>
      <c r="J15" s="79">
        <v>0</v>
      </c>
      <c r="K15" s="78">
        <f>+I15-J15</f>
        <v>6525000</v>
      </c>
    </row>
    <row r="16" spans="1:11" x14ac:dyDescent="0.25">
      <c r="A16" s="89">
        <v>43067</v>
      </c>
      <c r="B16" s="63" t="s">
        <v>761</v>
      </c>
      <c r="C16" s="64">
        <v>1008</v>
      </c>
      <c r="D16" s="64">
        <v>1325</v>
      </c>
      <c r="E16" s="44" t="s">
        <v>1202</v>
      </c>
      <c r="F16" s="49"/>
      <c r="G16" s="65"/>
      <c r="H16" s="66"/>
      <c r="I16" s="78">
        <v>870000</v>
      </c>
      <c r="J16" s="78">
        <v>0</v>
      </c>
      <c r="K16" s="78">
        <f>+I16-J16</f>
        <v>870000</v>
      </c>
    </row>
    <row r="17" spans="1:11" x14ac:dyDescent="0.25">
      <c r="A17" s="89"/>
      <c r="B17" s="63"/>
      <c r="C17" s="64"/>
      <c r="D17" s="64"/>
      <c r="E17" s="44"/>
      <c r="F17" s="66"/>
      <c r="G17" s="65"/>
      <c r="H17" s="66"/>
      <c r="I17" s="80"/>
      <c r="J17" s="78"/>
      <c r="K17" s="78">
        <f>+I17-J17</f>
        <v>0</v>
      </c>
    </row>
    <row r="18" spans="1:11" x14ac:dyDescent="0.25">
      <c r="A18" s="48"/>
      <c r="B18" s="63"/>
      <c r="C18" s="64"/>
      <c r="D18" s="64"/>
      <c r="E18" s="44"/>
      <c r="F18" s="66"/>
      <c r="G18" s="65"/>
      <c r="H18" s="66"/>
      <c r="I18" s="67"/>
      <c r="J18" s="78"/>
      <c r="K18" s="78">
        <f>+I18-J18</f>
        <v>0</v>
      </c>
    </row>
    <row r="19" spans="1:11" ht="12.75" customHeight="1" x14ac:dyDescent="0.25">
      <c r="A19" s="48"/>
      <c r="B19" s="41"/>
      <c r="C19" s="41"/>
      <c r="D19" s="41"/>
      <c r="E19" s="44"/>
      <c r="F19" s="49"/>
      <c r="G19" s="44"/>
      <c r="H19" s="49"/>
      <c r="I19" s="69"/>
      <c r="J19" s="69"/>
      <c r="K19" s="69"/>
    </row>
    <row r="20" spans="1:11" x14ac:dyDescent="0.25">
      <c r="A20" s="55"/>
      <c r="B20" s="56"/>
      <c r="C20" s="56"/>
      <c r="D20" s="56"/>
      <c r="E20" s="56"/>
      <c r="F20" s="56"/>
      <c r="G20" s="527" t="s">
        <v>132</v>
      </c>
      <c r="H20" s="528"/>
      <c r="I20" s="83">
        <f>SUM(I14:I19)</f>
        <v>22836302</v>
      </c>
      <c r="J20" s="83">
        <f>SUM(J14:J19)</f>
        <v>10294201</v>
      </c>
      <c r="K20" s="83">
        <f>SUM(K14:K19)</f>
        <v>12542101</v>
      </c>
    </row>
    <row r="21" spans="1:11" ht="12.75" customHeight="1" x14ac:dyDescent="0.25">
      <c r="A21" s="3"/>
      <c r="B21" s="3"/>
      <c r="C21" s="3"/>
      <c r="D21" s="3"/>
      <c r="E21" s="3"/>
      <c r="F21" s="3"/>
      <c r="G21" s="3"/>
      <c r="H21" s="3"/>
      <c r="I21" s="3"/>
      <c r="J21" s="71"/>
      <c r="K21" s="56"/>
    </row>
    <row r="22" spans="1:11" ht="24.95" customHeight="1" x14ac:dyDescent="0.25">
      <c r="A22" s="31" t="s">
        <v>58</v>
      </c>
      <c r="B22" s="31" t="s">
        <v>133</v>
      </c>
      <c r="C22" s="31" t="s">
        <v>30</v>
      </c>
      <c r="D22" s="32" t="s">
        <v>59</v>
      </c>
      <c r="E22" s="31" t="s">
        <v>40</v>
      </c>
      <c r="F22" s="31" t="s">
        <v>62</v>
      </c>
      <c r="G22" s="31" t="s">
        <v>37</v>
      </c>
      <c r="H22" s="31" t="s">
        <v>60</v>
      </c>
      <c r="I22" s="31" t="s">
        <v>61</v>
      </c>
      <c r="J22" s="31" t="s">
        <v>99</v>
      </c>
      <c r="K22" s="31" t="s">
        <v>68</v>
      </c>
    </row>
    <row r="23" spans="1:11" ht="24.95" customHeight="1" x14ac:dyDescent="0.25">
      <c r="A23" s="81">
        <v>109000000</v>
      </c>
      <c r="B23" s="81">
        <f>-12000000-40000000-2070612</f>
        <v>-54070612</v>
      </c>
      <c r="C23" s="81">
        <v>0</v>
      </c>
      <c r="D23" s="82">
        <f>+A23+B23-C23</f>
        <v>54929388</v>
      </c>
      <c r="E23" s="82">
        <f>+I20</f>
        <v>22836302</v>
      </c>
      <c r="F23" s="72">
        <f>+E23/D23</f>
        <v>0.41573923962160292</v>
      </c>
      <c r="G23" s="82">
        <f>+I9</f>
        <v>2006927</v>
      </c>
      <c r="H23" s="82">
        <f>+D23-E23-G23</f>
        <v>30086159</v>
      </c>
      <c r="I23" s="82">
        <f>+J20</f>
        <v>10294201</v>
      </c>
      <c r="J23" s="128">
        <f>+I23/D23</f>
        <v>0.18740789538743813</v>
      </c>
      <c r="K23" s="82">
        <f>+K20</f>
        <v>12542101</v>
      </c>
    </row>
    <row r="24" spans="1:11" x14ac:dyDescent="0.25">
      <c r="A24" s="74">
        <v>1</v>
      </c>
      <c r="B24" s="74">
        <v>2</v>
      </c>
      <c r="C24" s="74">
        <v>3</v>
      </c>
      <c r="D24" s="74" t="s">
        <v>42</v>
      </c>
      <c r="E24" s="74">
        <v>5</v>
      </c>
      <c r="F24" s="74" t="s">
        <v>69</v>
      </c>
      <c r="G24" s="74">
        <v>7</v>
      </c>
      <c r="H24" s="74" t="s">
        <v>70</v>
      </c>
      <c r="I24" s="74">
        <v>9</v>
      </c>
      <c r="J24" s="74" t="s">
        <v>100</v>
      </c>
      <c r="K24" s="74" t="s">
        <v>101</v>
      </c>
    </row>
  </sheetData>
  <mergeCells count="15">
    <mergeCell ref="I5:I6"/>
    <mergeCell ref="J5:K6"/>
    <mergeCell ref="E6:H6"/>
    <mergeCell ref="I11:I12"/>
    <mergeCell ref="J11:J12"/>
    <mergeCell ref="E12:F12"/>
    <mergeCell ref="G12:H12"/>
    <mergeCell ref="G20:H20"/>
    <mergeCell ref="A5:A6"/>
    <mergeCell ref="B5:B6"/>
    <mergeCell ref="D5:D6"/>
    <mergeCell ref="A11:A12"/>
    <mergeCell ref="E11:H11"/>
    <mergeCell ref="G9:H9"/>
    <mergeCell ref="E5:H5"/>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4" zoomScaleNormal="100" workbookViewId="0">
      <selection activeCell="J14" sqref="J14:J30"/>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3" ht="12.75" customHeight="1" x14ac:dyDescent="0.25">
      <c r="A1" s="2" t="s">
        <v>98</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34" t="s">
        <v>102</v>
      </c>
      <c r="B3" s="84" t="s">
        <v>46</v>
      </c>
      <c r="C3" s="34"/>
      <c r="D3" s="34"/>
      <c r="E3" s="35"/>
      <c r="F3" s="35"/>
      <c r="G3" s="35"/>
      <c r="H3" s="35"/>
      <c r="I3" s="35"/>
      <c r="J3" s="36"/>
      <c r="K3" s="489" t="s">
        <v>1161</v>
      </c>
    </row>
    <row r="4" spans="1:13" ht="12.75" customHeight="1" x14ac:dyDescent="0.25">
      <c r="A4" s="3"/>
      <c r="B4" s="3"/>
      <c r="C4" s="3"/>
      <c r="D4" s="3"/>
      <c r="E4" s="3"/>
      <c r="F4" s="3"/>
      <c r="G4" s="3"/>
      <c r="H4" s="3"/>
      <c r="I4" s="3"/>
      <c r="J4" s="37"/>
      <c r="K4" s="38"/>
    </row>
    <row r="5" spans="1:13" x14ac:dyDescent="0.25">
      <c r="A5" s="529" t="s">
        <v>28</v>
      </c>
      <c r="B5" s="531" t="s">
        <v>131</v>
      </c>
      <c r="C5" s="537"/>
      <c r="D5" s="529" t="s">
        <v>71</v>
      </c>
      <c r="E5" s="533" t="s">
        <v>37</v>
      </c>
      <c r="F5" s="534"/>
      <c r="G5" s="534"/>
      <c r="H5" s="535"/>
      <c r="I5" s="529" t="s">
        <v>31</v>
      </c>
      <c r="J5" s="536" t="s">
        <v>41</v>
      </c>
      <c r="K5" s="537"/>
    </row>
    <row r="6" spans="1:13" x14ac:dyDescent="0.25">
      <c r="A6" s="530"/>
      <c r="B6" s="532"/>
      <c r="C6" s="539"/>
      <c r="D6" s="530"/>
      <c r="E6" s="533" t="s">
        <v>33</v>
      </c>
      <c r="F6" s="534"/>
      <c r="G6" s="534"/>
      <c r="H6" s="535"/>
      <c r="I6" s="530"/>
      <c r="J6" s="538"/>
      <c r="K6" s="539"/>
    </row>
    <row r="7" spans="1:13" x14ac:dyDescent="0.25">
      <c r="A7" s="48" t="s">
        <v>706</v>
      </c>
      <c r="B7" s="65" t="s">
        <v>305</v>
      </c>
      <c r="C7" s="37"/>
      <c r="D7" s="64">
        <v>778</v>
      </c>
      <c r="E7" s="285" t="s">
        <v>707</v>
      </c>
      <c r="F7" s="37"/>
      <c r="G7" s="51"/>
      <c r="H7" s="52"/>
      <c r="I7" s="75">
        <f>58409830-58306914</f>
        <v>102916</v>
      </c>
      <c r="J7" s="44" t="s">
        <v>196</v>
      </c>
      <c r="K7" s="86"/>
    </row>
    <row r="8" spans="1:13" x14ac:dyDescent="0.25">
      <c r="A8" s="48" t="s">
        <v>706</v>
      </c>
      <c r="B8" s="65" t="s">
        <v>165</v>
      </c>
      <c r="C8" s="37"/>
      <c r="D8" s="64">
        <v>779</v>
      </c>
      <c r="E8" s="285" t="s">
        <v>708</v>
      </c>
      <c r="F8" s="37"/>
      <c r="G8" s="51"/>
      <c r="H8" s="52"/>
      <c r="I8" s="75">
        <f>206266764-149160125</f>
        <v>57106639</v>
      </c>
      <c r="J8" s="44" t="s">
        <v>196</v>
      </c>
      <c r="K8" s="86"/>
    </row>
    <row r="9" spans="1:13" ht="12.75" customHeight="1" x14ac:dyDescent="0.25">
      <c r="A9" s="48"/>
      <c r="B9" s="65"/>
      <c r="C9" s="54"/>
      <c r="D9" s="110"/>
      <c r="E9" s="44"/>
      <c r="F9" s="37"/>
      <c r="G9" s="51"/>
      <c r="H9" s="52"/>
      <c r="I9" s="75"/>
      <c r="J9" s="44"/>
      <c r="K9" s="49"/>
    </row>
    <row r="10" spans="1:13" x14ac:dyDescent="0.25">
      <c r="A10" s="55"/>
      <c r="B10" s="56"/>
      <c r="C10" s="38"/>
      <c r="D10" s="56"/>
      <c r="E10" s="56"/>
      <c r="F10" s="56"/>
      <c r="G10" s="527" t="s">
        <v>132</v>
      </c>
      <c r="H10" s="528"/>
      <c r="I10" s="77">
        <f>SUM(I7:I9)</f>
        <v>57209555</v>
      </c>
      <c r="J10" s="57"/>
      <c r="K10" s="58"/>
    </row>
    <row r="11" spans="1:13" ht="12.75" customHeight="1" x14ac:dyDescent="0.25">
      <c r="A11" s="56"/>
      <c r="B11" s="56"/>
      <c r="C11" s="56"/>
      <c r="D11" s="56"/>
      <c r="E11" s="56"/>
      <c r="F11" s="56"/>
      <c r="G11" s="56"/>
      <c r="H11" s="56"/>
      <c r="I11" s="175"/>
      <c r="J11" s="178"/>
      <c r="K11" s="56"/>
    </row>
    <row r="12" spans="1:13" x14ac:dyDescent="0.25">
      <c r="A12" s="529" t="s">
        <v>28</v>
      </c>
      <c r="B12" s="30" t="s">
        <v>38</v>
      </c>
      <c r="C12" s="60" t="s">
        <v>34</v>
      </c>
      <c r="D12" s="59" t="s">
        <v>34</v>
      </c>
      <c r="E12" s="533" t="s">
        <v>40</v>
      </c>
      <c r="F12" s="534"/>
      <c r="G12" s="534"/>
      <c r="H12" s="535"/>
      <c r="I12" s="529" t="s">
        <v>31</v>
      </c>
      <c r="J12" s="529" t="s">
        <v>29</v>
      </c>
      <c r="K12" s="60" t="s">
        <v>56</v>
      </c>
    </row>
    <row r="13" spans="1:13" x14ac:dyDescent="0.25">
      <c r="A13" s="530"/>
      <c r="B13" s="61" t="s">
        <v>39</v>
      </c>
      <c r="C13" s="61" t="s">
        <v>36</v>
      </c>
      <c r="D13" s="61" t="s">
        <v>35</v>
      </c>
      <c r="E13" s="533" t="s">
        <v>33</v>
      </c>
      <c r="F13" s="535"/>
      <c r="G13" s="533" t="s">
        <v>32</v>
      </c>
      <c r="H13" s="535"/>
      <c r="I13" s="530"/>
      <c r="J13" s="530"/>
      <c r="K13" s="61" t="s">
        <v>57</v>
      </c>
    </row>
    <row r="14" spans="1:13" ht="15" customHeight="1" x14ac:dyDescent="0.25">
      <c r="A14" s="48">
        <v>42828</v>
      </c>
      <c r="B14" s="63" t="s">
        <v>307</v>
      </c>
      <c r="C14" s="64">
        <v>486</v>
      </c>
      <c r="D14" s="64">
        <v>496</v>
      </c>
      <c r="E14" s="44" t="s">
        <v>306</v>
      </c>
      <c r="F14" s="66"/>
      <c r="G14" s="65" t="s">
        <v>308</v>
      </c>
      <c r="H14" s="66"/>
      <c r="I14" s="75">
        <f>150897676-11895</f>
        <v>150885781</v>
      </c>
      <c r="J14" s="78">
        <v>150885781</v>
      </c>
      <c r="K14" s="78">
        <f t="shared" ref="K14:K30" si="0">+I14-J14</f>
        <v>0</v>
      </c>
      <c r="M14" s="238"/>
    </row>
    <row r="15" spans="1:13" x14ac:dyDescent="0.25">
      <c r="A15" s="48">
        <v>42849</v>
      </c>
      <c r="B15" s="63" t="s">
        <v>355</v>
      </c>
      <c r="C15" s="64">
        <v>512</v>
      </c>
      <c r="D15" s="64">
        <v>576</v>
      </c>
      <c r="E15" s="285" t="s">
        <v>304</v>
      </c>
      <c r="F15" s="66"/>
      <c r="G15" s="65" t="s">
        <v>356</v>
      </c>
      <c r="H15" s="66"/>
      <c r="I15" s="75">
        <f>531754961</f>
        <v>531754961</v>
      </c>
      <c r="J15" s="75">
        <v>531754961</v>
      </c>
      <c r="K15" s="78">
        <f t="shared" si="0"/>
        <v>0</v>
      </c>
      <c r="M15" s="238"/>
    </row>
    <row r="16" spans="1:13" x14ac:dyDescent="0.25">
      <c r="A16" s="48">
        <v>42877</v>
      </c>
      <c r="B16" s="63" t="s">
        <v>418</v>
      </c>
      <c r="C16" s="64">
        <v>505</v>
      </c>
      <c r="D16" s="64">
        <v>696</v>
      </c>
      <c r="E16" s="44" t="s">
        <v>419</v>
      </c>
      <c r="F16" s="66"/>
      <c r="G16" s="65" t="s">
        <v>356</v>
      </c>
      <c r="H16" s="66"/>
      <c r="I16" s="75">
        <v>401357391</v>
      </c>
      <c r="J16" s="75">
        <v>317364545</v>
      </c>
      <c r="K16" s="78">
        <f t="shared" si="0"/>
        <v>83992846</v>
      </c>
      <c r="M16" s="238"/>
    </row>
    <row r="17" spans="1:13" x14ac:dyDescent="0.25">
      <c r="A17" s="48">
        <v>42892</v>
      </c>
      <c r="B17" s="63" t="s">
        <v>517</v>
      </c>
      <c r="C17" s="64">
        <v>657</v>
      </c>
      <c r="D17" s="64">
        <v>727</v>
      </c>
      <c r="E17" s="44" t="s">
        <v>518</v>
      </c>
      <c r="F17" s="66"/>
      <c r="G17" s="44" t="s">
        <v>519</v>
      </c>
      <c r="H17" s="66"/>
      <c r="I17" s="78">
        <v>64863246</v>
      </c>
      <c r="J17" s="78">
        <v>53129517</v>
      </c>
      <c r="K17" s="78">
        <f t="shared" si="0"/>
        <v>11733729</v>
      </c>
      <c r="M17" s="238"/>
    </row>
    <row r="18" spans="1:13" x14ac:dyDescent="0.25">
      <c r="A18" s="48">
        <v>42928</v>
      </c>
      <c r="B18" s="63" t="s">
        <v>631</v>
      </c>
      <c r="C18" s="64">
        <v>713</v>
      </c>
      <c r="D18" s="64">
        <v>827</v>
      </c>
      <c r="E18" s="44" t="s">
        <v>636</v>
      </c>
      <c r="F18" s="66"/>
      <c r="G18" s="44" t="s">
        <v>633</v>
      </c>
      <c r="H18" s="66"/>
      <c r="I18" s="78">
        <v>7140000</v>
      </c>
      <c r="J18" s="78">
        <v>0</v>
      </c>
      <c r="K18" s="78">
        <f t="shared" si="0"/>
        <v>7140000</v>
      </c>
      <c r="M18" s="238"/>
    </row>
    <row r="19" spans="1:13" x14ac:dyDescent="0.25">
      <c r="A19" s="48">
        <v>42929</v>
      </c>
      <c r="B19" s="63" t="s">
        <v>632</v>
      </c>
      <c r="C19" s="64">
        <v>569</v>
      </c>
      <c r="D19" s="64">
        <v>832</v>
      </c>
      <c r="E19" s="44" t="s">
        <v>635</v>
      </c>
      <c r="F19" s="66"/>
      <c r="G19" s="44" t="s">
        <v>634</v>
      </c>
      <c r="H19" s="66"/>
      <c r="I19" s="78">
        <v>445855047</v>
      </c>
      <c r="J19" s="78">
        <v>198427521</v>
      </c>
      <c r="K19" s="78">
        <f t="shared" si="0"/>
        <v>247427526</v>
      </c>
      <c r="M19" s="238"/>
    </row>
    <row r="20" spans="1:13" x14ac:dyDescent="0.25">
      <c r="A20" s="48">
        <v>42941</v>
      </c>
      <c r="B20" s="63" t="s">
        <v>679</v>
      </c>
      <c r="C20" s="64">
        <v>729</v>
      </c>
      <c r="D20" s="64">
        <v>862</v>
      </c>
      <c r="E20" s="305" t="s">
        <v>680</v>
      </c>
      <c r="F20" s="66"/>
      <c r="G20" s="44" t="s">
        <v>681</v>
      </c>
      <c r="H20" s="66"/>
      <c r="I20" s="78">
        <v>70310165</v>
      </c>
      <c r="J20" s="78">
        <v>5859180</v>
      </c>
      <c r="K20" s="78">
        <f t="shared" si="0"/>
        <v>64450985</v>
      </c>
      <c r="M20" s="238"/>
    </row>
    <row r="21" spans="1:13" x14ac:dyDescent="0.25">
      <c r="A21" s="48">
        <v>42947</v>
      </c>
      <c r="B21" s="63" t="s">
        <v>693</v>
      </c>
      <c r="C21" s="64">
        <v>730</v>
      </c>
      <c r="D21" s="64">
        <v>866</v>
      </c>
      <c r="E21" s="44" t="s">
        <v>694</v>
      </c>
      <c r="F21" s="66"/>
      <c r="G21" s="44" t="s">
        <v>695</v>
      </c>
      <c r="H21" s="66"/>
      <c r="I21" s="78">
        <v>22068600</v>
      </c>
      <c r="J21" s="78">
        <v>4188800</v>
      </c>
      <c r="K21" s="78">
        <f t="shared" si="0"/>
        <v>17879800</v>
      </c>
      <c r="M21" s="238"/>
    </row>
    <row r="22" spans="1:13" x14ac:dyDescent="0.25">
      <c r="A22" s="48">
        <v>42950</v>
      </c>
      <c r="B22" s="63" t="s">
        <v>696</v>
      </c>
      <c r="C22" s="64">
        <v>738</v>
      </c>
      <c r="D22" s="64">
        <v>876</v>
      </c>
      <c r="E22" s="285" t="s">
        <v>700</v>
      </c>
      <c r="F22" s="66"/>
      <c r="G22" s="44" t="s">
        <v>702</v>
      </c>
      <c r="H22" s="66"/>
      <c r="I22" s="78">
        <v>69697887</v>
      </c>
      <c r="J22" s="78">
        <v>69697887</v>
      </c>
      <c r="K22" s="78">
        <f t="shared" si="0"/>
        <v>0</v>
      </c>
      <c r="M22" s="238"/>
    </row>
    <row r="23" spans="1:13" x14ac:dyDescent="0.25">
      <c r="A23" s="48">
        <v>42963</v>
      </c>
      <c r="B23" s="63" t="s">
        <v>697</v>
      </c>
      <c r="C23" s="64">
        <v>712</v>
      </c>
      <c r="D23" s="64">
        <v>896</v>
      </c>
      <c r="E23" s="44" t="s">
        <v>571</v>
      </c>
      <c r="F23" s="66"/>
      <c r="G23" s="44" t="s">
        <v>703</v>
      </c>
      <c r="H23" s="66"/>
      <c r="I23" s="78">
        <v>330935430</v>
      </c>
      <c r="J23" s="78">
        <v>197723260</v>
      </c>
      <c r="K23" s="78">
        <f t="shared" si="0"/>
        <v>133212170</v>
      </c>
      <c r="M23" s="238"/>
    </row>
    <row r="24" spans="1:13" x14ac:dyDescent="0.25">
      <c r="A24" s="48">
        <v>42964</v>
      </c>
      <c r="B24" s="63" t="s">
        <v>698</v>
      </c>
      <c r="C24" s="64">
        <v>753</v>
      </c>
      <c r="D24" s="64">
        <v>898</v>
      </c>
      <c r="E24" s="44" t="s">
        <v>701</v>
      </c>
      <c r="F24" s="66"/>
      <c r="G24" s="44" t="s">
        <v>704</v>
      </c>
      <c r="H24" s="66"/>
      <c r="I24" s="78">
        <v>39581876</v>
      </c>
      <c r="J24" s="78">
        <v>0</v>
      </c>
      <c r="K24" s="78">
        <f t="shared" si="0"/>
        <v>39581876</v>
      </c>
      <c r="M24" s="238"/>
    </row>
    <row r="25" spans="1:13" x14ac:dyDescent="0.25">
      <c r="A25" s="48">
        <v>42965</v>
      </c>
      <c r="B25" s="63" t="s">
        <v>697</v>
      </c>
      <c r="C25" s="64">
        <v>714</v>
      </c>
      <c r="D25" s="64">
        <v>908</v>
      </c>
      <c r="E25" s="44" t="s">
        <v>699</v>
      </c>
      <c r="F25" s="66"/>
      <c r="G25" s="44" t="s">
        <v>705</v>
      </c>
      <c r="H25" s="66"/>
      <c r="I25" s="78">
        <v>316111550</v>
      </c>
      <c r="J25" s="78">
        <v>0</v>
      </c>
      <c r="K25" s="78">
        <f t="shared" si="0"/>
        <v>316111550</v>
      </c>
      <c r="M25" s="238"/>
    </row>
    <row r="26" spans="1:13" x14ac:dyDescent="0.25">
      <c r="A26" s="48">
        <v>42970</v>
      </c>
      <c r="B26" s="63" t="s">
        <v>764</v>
      </c>
      <c r="C26" s="64">
        <v>789</v>
      </c>
      <c r="D26" s="64">
        <v>914</v>
      </c>
      <c r="E26" s="44" t="s">
        <v>765</v>
      </c>
      <c r="F26" s="66"/>
      <c r="G26" s="44" t="s">
        <v>633</v>
      </c>
      <c r="H26" s="66"/>
      <c r="I26" s="78">
        <v>464100</v>
      </c>
      <c r="J26" s="78">
        <v>464100</v>
      </c>
      <c r="K26" s="78">
        <f t="shared" si="0"/>
        <v>0</v>
      </c>
      <c r="M26" s="238"/>
    </row>
    <row r="27" spans="1:13" x14ac:dyDescent="0.25">
      <c r="A27" s="48">
        <v>42978</v>
      </c>
      <c r="B27" s="63" t="s">
        <v>800</v>
      </c>
      <c r="C27" s="64">
        <v>740</v>
      </c>
      <c r="D27" s="64">
        <v>942</v>
      </c>
      <c r="E27" s="44" t="s">
        <v>802</v>
      </c>
      <c r="F27" s="66"/>
      <c r="G27" s="44" t="s">
        <v>803</v>
      </c>
      <c r="H27" s="66"/>
      <c r="I27" s="78">
        <v>18555075</v>
      </c>
      <c r="J27" s="78">
        <v>18555075</v>
      </c>
      <c r="K27" s="78">
        <f t="shared" si="0"/>
        <v>0</v>
      </c>
      <c r="M27" s="238"/>
    </row>
    <row r="28" spans="1:13" x14ac:dyDescent="0.25">
      <c r="A28" s="48">
        <v>42978</v>
      </c>
      <c r="B28" s="63" t="s">
        <v>801</v>
      </c>
      <c r="C28" s="64">
        <v>740</v>
      </c>
      <c r="D28" s="64">
        <v>943</v>
      </c>
      <c r="E28" s="44" t="s">
        <v>802</v>
      </c>
      <c r="F28" s="66"/>
      <c r="G28" s="44" t="s">
        <v>804</v>
      </c>
      <c r="H28" s="66"/>
      <c r="I28" s="78">
        <v>8793174</v>
      </c>
      <c r="J28" s="78">
        <v>8793174</v>
      </c>
      <c r="K28" s="78">
        <f t="shared" si="0"/>
        <v>0</v>
      </c>
      <c r="M28" s="238"/>
    </row>
    <row r="29" spans="1:13" x14ac:dyDescent="0.25">
      <c r="A29" s="48">
        <v>43017</v>
      </c>
      <c r="B29" s="63" t="s">
        <v>1051</v>
      </c>
      <c r="C29" s="64">
        <v>779</v>
      </c>
      <c r="D29" s="64">
        <v>1144</v>
      </c>
      <c r="E29" s="44" t="s">
        <v>715</v>
      </c>
      <c r="F29" s="66"/>
      <c r="G29" s="44" t="s">
        <v>1052</v>
      </c>
      <c r="H29" s="66"/>
      <c r="I29" s="78">
        <v>149160125</v>
      </c>
      <c r="J29" s="78">
        <v>0</v>
      </c>
      <c r="K29" s="78">
        <f t="shared" si="0"/>
        <v>149160125</v>
      </c>
      <c r="M29" s="238"/>
    </row>
    <row r="30" spans="1:13" x14ac:dyDescent="0.25">
      <c r="A30" s="48">
        <v>43028</v>
      </c>
      <c r="B30" s="63" t="s">
        <v>1071</v>
      </c>
      <c r="C30" s="64">
        <v>778</v>
      </c>
      <c r="D30" s="64">
        <v>1171</v>
      </c>
      <c r="E30" s="44" t="s">
        <v>1072</v>
      </c>
      <c r="F30" s="66"/>
      <c r="G30" s="44" t="s">
        <v>1073</v>
      </c>
      <c r="H30" s="66"/>
      <c r="I30" s="78">
        <v>58306914</v>
      </c>
      <c r="J30" s="78">
        <v>0</v>
      </c>
      <c r="K30" s="78">
        <f t="shared" si="0"/>
        <v>58306914</v>
      </c>
      <c r="M30" s="238"/>
    </row>
    <row r="31" spans="1:13" x14ac:dyDescent="0.25">
      <c r="A31" s="48"/>
      <c r="B31" s="63"/>
      <c r="C31" s="64"/>
      <c r="D31" s="64"/>
      <c r="E31" s="44"/>
      <c r="F31" s="66"/>
      <c r="G31" s="44"/>
      <c r="H31" s="66"/>
      <c r="I31" s="78"/>
      <c r="J31" s="78"/>
      <c r="K31" s="78"/>
      <c r="M31" s="238"/>
    </row>
    <row r="32" spans="1:13" ht="15" customHeight="1" x14ac:dyDescent="0.25">
      <c r="A32" s="48"/>
      <c r="B32" s="41"/>
      <c r="C32" s="41"/>
      <c r="D32" s="41"/>
      <c r="E32" s="44"/>
      <c r="F32" s="49"/>
      <c r="G32" s="44"/>
      <c r="H32" s="49"/>
      <c r="I32" s="94"/>
      <c r="J32" s="179"/>
      <c r="K32" s="179"/>
    </row>
    <row r="33" spans="1:11" x14ac:dyDescent="0.25">
      <c r="A33" s="55"/>
      <c r="B33" s="56"/>
      <c r="C33" s="56"/>
      <c r="D33" s="56"/>
      <c r="E33" s="56"/>
      <c r="F33" s="56"/>
      <c r="G33" s="527" t="s">
        <v>132</v>
      </c>
      <c r="H33" s="528"/>
      <c r="I33" s="83">
        <f>SUM(I14:I32)</f>
        <v>2685841322</v>
      </c>
      <c r="J33" s="83">
        <f>SUM(J14:J32)</f>
        <v>1556843801</v>
      </c>
      <c r="K33" s="83">
        <f>SUM(K14:K32)</f>
        <v>1128997521</v>
      </c>
    </row>
    <row r="34" spans="1:11" ht="12.75" customHeight="1" x14ac:dyDescent="0.25">
      <c r="A34" s="3"/>
      <c r="B34" s="3"/>
      <c r="C34" s="3"/>
      <c r="D34" s="3"/>
      <c r="E34" s="3"/>
      <c r="F34" s="3"/>
      <c r="G34" s="3"/>
      <c r="H34" s="3"/>
      <c r="I34" s="22"/>
      <c r="J34" s="93"/>
      <c r="K34" s="56"/>
    </row>
    <row r="35" spans="1:11" ht="24.95" customHeight="1" x14ac:dyDescent="0.25">
      <c r="A35" s="31" t="s">
        <v>58</v>
      </c>
      <c r="B35" s="31" t="s">
        <v>133</v>
      </c>
      <c r="C35" s="31" t="s">
        <v>30</v>
      </c>
      <c r="D35" s="32" t="s">
        <v>59</v>
      </c>
      <c r="E35" s="31" t="s">
        <v>40</v>
      </c>
      <c r="F35" s="31" t="s">
        <v>62</v>
      </c>
      <c r="G35" s="31" t="s">
        <v>37</v>
      </c>
      <c r="H35" s="31" t="s">
        <v>60</v>
      </c>
      <c r="I35" s="31" t="s">
        <v>61</v>
      </c>
      <c r="J35" s="31" t="s">
        <v>99</v>
      </c>
      <c r="K35" s="31" t="s">
        <v>68</v>
      </c>
    </row>
    <row r="36" spans="1:11" ht="24.95" customHeight="1" x14ac:dyDescent="0.25">
      <c r="A36" s="95">
        <v>2780000000</v>
      </c>
      <c r="B36" s="95">
        <v>0</v>
      </c>
      <c r="C36" s="95">
        <v>0</v>
      </c>
      <c r="D36" s="82">
        <f>+A36+B36-C36</f>
        <v>2780000000</v>
      </c>
      <c r="E36" s="82">
        <f>+I33</f>
        <v>2685841322</v>
      </c>
      <c r="F36" s="72">
        <f>+E36/D36</f>
        <v>0.9661299719424461</v>
      </c>
      <c r="G36" s="82">
        <f>+I10</f>
        <v>57209555</v>
      </c>
      <c r="H36" s="82">
        <f>+D36-E36-G36</f>
        <v>36949123</v>
      </c>
      <c r="I36" s="146">
        <f>+J33</f>
        <v>1556843801</v>
      </c>
      <c r="J36" s="73">
        <f>+I36/D36</f>
        <v>0.56001575575539564</v>
      </c>
      <c r="K36" s="146">
        <f>+K33</f>
        <v>1128997521</v>
      </c>
    </row>
    <row r="37" spans="1:11" x14ac:dyDescent="0.25">
      <c r="A37" s="74">
        <v>1</v>
      </c>
      <c r="B37" s="74">
        <v>2</v>
      </c>
      <c r="C37" s="74">
        <v>3</v>
      </c>
      <c r="D37" s="74" t="s">
        <v>42</v>
      </c>
      <c r="E37" s="74">
        <v>5</v>
      </c>
      <c r="F37" s="74" t="s">
        <v>69</v>
      </c>
      <c r="G37" s="74">
        <v>7</v>
      </c>
      <c r="H37" s="74" t="s">
        <v>70</v>
      </c>
      <c r="I37" s="74">
        <v>9</v>
      </c>
      <c r="J37" s="74" t="s">
        <v>100</v>
      </c>
      <c r="K37" s="74" t="s">
        <v>101</v>
      </c>
    </row>
  </sheetData>
  <mergeCells count="16">
    <mergeCell ref="G33:H33"/>
    <mergeCell ref="E12:H12"/>
    <mergeCell ref="E13:F13"/>
    <mergeCell ref="G13:H13"/>
    <mergeCell ref="E5:H5"/>
    <mergeCell ref="E6:H6"/>
    <mergeCell ref="G10:H10"/>
    <mergeCell ref="J12:J13"/>
    <mergeCell ref="I12:I13"/>
    <mergeCell ref="A12:A13"/>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J15" sqref="J1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104</v>
      </c>
      <c r="B3" s="84" t="s">
        <v>72</v>
      </c>
      <c r="C3" s="34"/>
      <c r="D3" s="34"/>
      <c r="E3" s="35"/>
      <c r="F3" s="35"/>
      <c r="G3" s="35"/>
      <c r="H3" s="35"/>
      <c r="I3" s="35"/>
      <c r="J3" s="36"/>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41"/>
      <c r="B7" s="42"/>
      <c r="C7" s="43"/>
      <c r="D7" s="44"/>
      <c r="E7" s="42"/>
      <c r="F7" s="45"/>
      <c r="G7" s="46"/>
      <c r="H7" s="47"/>
      <c r="I7" s="43"/>
      <c r="J7" s="42"/>
      <c r="K7" s="43"/>
    </row>
    <row r="8" spans="1:11" x14ac:dyDescent="0.25">
      <c r="A8" s="48"/>
      <c r="B8" s="44"/>
      <c r="C8" s="96"/>
      <c r="D8" s="50"/>
      <c r="E8" s="279"/>
      <c r="F8" s="37"/>
      <c r="G8" s="51"/>
      <c r="H8" s="52"/>
      <c r="I8" s="75"/>
      <c r="J8" s="44"/>
      <c r="K8" s="49"/>
    </row>
    <row r="9" spans="1:11" ht="12.75" customHeight="1" x14ac:dyDescent="0.25">
      <c r="A9" s="48"/>
      <c r="B9" s="53"/>
      <c r="C9" s="54"/>
      <c r="D9" s="44"/>
      <c r="E9" s="44"/>
      <c r="F9" s="37"/>
      <c r="G9" s="51"/>
      <c r="H9" s="52"/>
      <c r="I9" s="76"/>
      <c r="J9" s="44"/>
      <c r="K9" s="49"/>
    </row>
    <row r="10" spans="1:11" x14ac:dyDescent="0.25">
      <c r="A10" s="55"/>
      <c r="B10" s="56"/>
      <c r="C10" s="56"/>
      <c r="D10" s="56"/>
      <c r="E10" s="56"/>
      <c r="F10" s="56"/>
      <c r="G10" s="527" t="s">
        <v>132</v>
      </c>
      <c r="H10" s="528"/>
      <c r="I10" s="77">
        <f>SUM(I8:I9)</f>
        <v>0</v>
      </c>
      <c r="J10" s="57"/>
      <c r="K10" s="58"/>
    </row>
    <row r="11" spans="1:11" ht="12.75" customHeight="1" x14ac:dyDescent="0.25">
      <c r="A11" s="3"/>
      <c r="B11" s="3"/>
      <c r="C11" s="3"/>
      <c r="D11" s="3"/>
      <c r="E11" s="3"/>
      <c r="F11" s="3"/>
      <c r="G11" s="3"/>
      <c r="H11" s="3"/>
      <c r="I11" s="98"/>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41"/>
      <c r="B14" s="41"/>
      <c r="C14" s="41"/>
      <c r="D14" s="41"/>
      <c r="E14" s="44"/>
      <c r="F14" s="49"/>
      <c r="G14" s="44"/>
      <c r="H14" s="49"/>
      <c r="I14" s="62"/>
      <c r="J14" s="62"/>
      <c r="K14" s="62"/>
    </row>
    <row r="15" spans="1:11" x14ac:dyDescent="0.25">
      <c r="A15" s="89">
        <v>43007</v>
      </c>
      <c r="B15" s="90" t="s">
        <v>1048</v>
      </c>
      <c r="C15" s="91">
        <v>851</v>
      </c>
      <c r="D15" s="91">
        <v>1115</v>
      </c>
      <c r="E15" s="92" t="s">
        <v>1049</v>
      </c>
      <c r="F15" s="87"/>
      <c r="G15" s="88" t="s">
        <v>1050</v>
      </c>
      <c r="H15" s="87"/>
      <c r="I15" s="101">
        <v>50000000</v>
      </c>
      <c r="J15" s="101">
        <v>12079822</v>
      </c>
      <c r="K15" s="78">
        <f>+I15-J15</f>
        <v>37920178</v>
      </c>
    </row>
    <row r="16" spans="1:11" x14ac:dyDescent="0.25">
      <c r="A16" s="89"/>
      <c r="B16" s="90"/>
      <c r="C16" s="91"/>
      <c r="D16" s="91"/>
      <c r="E16" s="92"/>
      <c r="F16" s="87"/>
      <c r="G16" s="88"/>
      <c r="H16" s="87"/>
      <c r="I16" s="79"/>
      <c r="J16" s="79"/>
      <c r="K16" s="78">
        <f>+I16-J16</f>
        <v>0</v>
      </c>
    </row>
    <row r="17" spans="1:11" x14ac:dyDescent="0.25">
      <c r="A17" s="89"/>
      <c r="B17" s="90"/>
      <c r="C17" s="91"/>
      <c r="D17" s="91"/>
      <c r="E17" s="92"/>
      <c r="F17" s="87"/>
      <c r="G17" s="88"/>
      <c r="H17" s="87"/>
      <c r="I17" s="79"/>
      <c r="J17" s="79"/>
      <c r="K17" s="78">
        <f>+I17-J17</f>
        <v>0</v>
      </c>
    </row>
    <row r="18" spans="1:11" x14ac:dyDescent="0.25">
      <c r="A18" s="89"/>
      <c r="B18" s="90"/>
      <c r="C18" s="91"/>
      <c r="D18" s="91"/>
      <c r="E18" s="99"/>
      <c r="F18" s="87"/>
      <c r="G18" s="88"/>
      <c r="H18" s="87"/>
      <c r="I18" s="101"/>
      <c r="J18" s="78"/>
      <c r="K18" s="78">
        <f>+I18-J18</f>
        <v>0</v>
      </c>
    </row>
    <row r="19" spans="1:11" x14ac:dyDescent="0.25">
      <c r="A19" s="89"/>
      <c r="B19" s="90"/>
      <c r="C19" s="91"/>
      <c r="D19" s="91"/>
      <c r="E19"/>
      <c r="F19" s="87"/>
      <c r="G19"/>
      <c r="H19" s="87"/>
      <c r="I19" s="79"/>
      <c r="J19" s="75"/>
      <c r="K19" s="78">
        <f>+I19-J19</f>
        <v>0</v>
      </c>
    </row>
    <row r="20" spans="1:11" x14ac:dyDescent="0.25">
      <c r="A20" s="89"/>
      <c r="B20" s="90"/>
      <c r="C20" s="91"/>
      <c r="D20" s="91"/>
      <c r="E20" s="44"/>
      <c r="F20" s="87"/>
      <c r="G20" s="88"/>
      <c r="H20" s="87"/>
      <c r="I20" s="79"/>
      <c r="J20" s="75"/>
      <c r="K20" s="78"/>
    </row>
    <row r="21" spans="1:11" ht="12.75" customHeight="1" x14ac:dyDescent="0.25">
      <c r="A21" s="48"/>
      <c r="B21" s="63"/>
      <c r="C21" s="41"/>
      <c r="D21" s="41"/>
      <c r="E21" s="44"/>
      <c r="F21" s="49"/>
      <c r="G21" s="44"/>
      <c r="H21" s="49"/>
      <c r="I21" s="94"/>
      <c r="J21" s="94"/>
      <c r="K21" s="94"/>
    </row>
    <row r="22" spans="1:11" x14ac:dyDescent="0.25">
      <c r="A22" s="55"/>
      <c r="B22" s="56"/>
      <c r="C22" s="56"/>
      <c r="D22" s="56"/>
      <c r="E22" s="56"/>
      <c r="F22" s="56"/>
      <c r="G22" s="527" t="s">
        <v>132</v>
      </c>
      <c r="H22" s="528"/>
      <c r="I22" s="83">
        <f>SUM(I15:I21)</f>
        <v>50000000</v>
      </c>
      <c r="J22" s="83">
        <f>SUM(J15:J21)</f>
        <v>12079822</v>
      </c>
      <c r="K22" s="83">
        <f>SUM(K15:K21)</f>
        <v>37920178</v>
      </c>
    </row>
    <row r="23" spans="1:11" ht="12.75" customHeight="1" x14ac:dyDescent="0.25">
      <c r="A23" s="3"/>
      <c r="B23" s="3"/>
      <c r="C23" s="3"/>
      <c r="D23" s="3"/>
      <c r="E23" s="3"/>
      <c r="F23" s="3"/>
      <c r="G23" s="3"/>
      <c r="H23" s="3"/>
      <c r="I23" s="22"/>
      <c r="J23" s="93"/>
      <c r="K23" s="56"/>
    </row>
    <row r="24" spans="1:11" ht="24.95" customHeight="1" x14ac:dyDescent="0.25">
      <c r="A24" s="31" t="s">
        <v>58</v>
      </c>
      <c r="B24" s="31" t="s">
        <v>133</v>
      </c>
      <c r="C24" s="31" t="s">
        <v>30</v>
      </c>
      <c r="D24" s="32" t="s">
        <v>59</v>
      </c>
      <c r="E24" s="31" t="s">
        <v>40</v>
      </c>
      <c r="F24" s="31" t="s">
        <v>62</v>
      </c>
      <c r="G24" s="31" t="s">
        <v>37</v>
      </c>
      <c r="H24" s="31" t="s">
        <v>60</v>
      </c>
      <c r="I24" s="31" t="s">
        <v>61</v>
      </c>
      <c r="J24" s="31" t="s">
        <v>99</v>
      </c>
      <c r="K24" s="31" t="s">
        <v>68</v>
      </c>
    </row>
    <row r="25" spans="1:11" ht="24.95" customHeight="1" x14ac:dyDescent="0.25">
      <c r="A25" s="95">
        <v>133600000</v>
      </c>
      <c r="B25" s="95">
        <v>-83600000</v>
      </c>
      <c r="C25" s="95">
        <v>0</v>
      </c>
      <c r="D25" s="82">
        <f>+A25+B25-C25</f>
        <v>50000000</v>
      </c>
      <c r="E25" s="82">
        <f>+I22</f>
        <v>50000000</v>
      </c>
      <c r="F25" s="72">
        <f>+E25/D25</f>
        <v>1</v>
      </c>
      <c r="G25" s="82">
        <f>+I10</f>
        <v>0</v>
      </c>
      <c r="H25" s="82">
        <f>+D25-E25-G25</f>
        <v>0</v>
      </c>
      <c r="I25" s="82">
        <f>+J22</f>
        <v>12079822</v>
      </c>
      <c r="J25" s="73">
        <f>+I25/D25</f>
        <v>0.24159644</v>
      </c>
      <c r="K25" s="82">
        <f>+K22</f>
        <v>37920178</v>
      </c>
    </row>
    <row r="26" spans="1:11" x14ac:dyDescent="0.25">
      <c r="A26" s="74">
        <v>1</v>
      </c>
      <c r="B26" s="74">
        <v>2</v>
      </c>
      <c r="C26" s="74">
        <v>3</v>
      </c>
      <c r="D26" s="74" t="s">
        <v>42</v>
      </c>
      <c r="E26" s="74">
        <v>5</v>
      </c>
      <c r="F26" s="74" t="s">
        <v>69</v>
      </c>
      <c r="G26" s="74">
        <v>7</v>
      </c>
      <c r="H26" s="74" t="s">
        <v>70</v>
      </c>
      <c r="I26" s="74">
        <v>9</v>
      </c>
      <c r="J26" s="74" t="s">
        <v>100</v>
      </c>
      <c r="K26" s="74" t="s">
        <v>101</v>
      </c>
    </row>
  </sheetData>
  <mergeCells count="15">
    <mergeCell ref="G22:H22"/>
    <mergeCell ref="E12:H12"/>
    <mergeCell ref="E13:F13"/>
    <mergeCell ref="G13:H13"/>
    <mergeCell ref="E5:H5"/>
    <mergeCell ref="E6:H6"/>
    <mergeCell ref="G10:H10"/>
    <mergeCell ref="J12:J13"/>
    <mergeCell ref="I12:I13"/>
    <mergeCell ref="A12:A13"/>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activeCell="J18" sqref="J18:J25"/>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106</v>
      </c>
      <c r="B3" s="84" t="s">
        <v>126</v>
      </c>
      <c r="C3" s="34"/>
      <c r="D3" s="34"/>
      <c r="E3" s="35"/>
      <c r="F3" s="35"/>
      <c r="G3" s="35"/>
      <c r="H3" s="35"/>
      <c r="I3" s="35"/>
      <c r="J3" s="36"/>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ht="12.75" customHeight="1" x14ac:dyDescent="0.25">
      <c r="A7" s="41"/>
      <c r="B7" s="42"/>
      <c r="C7" s="43"/>
      <c r="D7" s="44"/>
      <c r="E7" s="42"/>
      <c r="F7" s="45"/>
      <c r="G7" s="46"/>
      <c r="H7" s="47"/>
      <c r="I7" s="43"/>
      <c r="J7" s="42"/>
      <c r="K7" s="43"/>
    </row>
    <row r="8" spans="1:11" x14ac:dyDescent="0.25">
      <c r="A8" s="48">
        <v>42783</v>
      </c>
      <c r="B8" s="44" t="s">
        <v>165</v>
      </c>
      <c r="C8" s="96"/>
      <c r="D8" s="50">
        <v>276</v>
      </c>
      <c r="E8" s="44" t="s">
        <v>193</v>
      </c>
      <c r="F8" s="37"/>
      <c r="G8" s="51"/>
      <c r="H8" s="52"/>
      <c r="I8" s="75">
        <f>2200000-170000-238000-5000-79900-136000-235000</f>
        <v>1336100</v>
      </c>
      <c r="J8" s="100" t="s">
        <v>196</v>
      </c>
      <c r="K8" s="49"/>
    </row>
    <row r="9" spans="1:11" x14ac:dyDescent="0.25">
      <c r="A9" s="48">
        <v>42990</v>
      </c>
      <c r="B9" s="44" t="s">
        <v>165</v>
      </c>
      <c r="C9" s="96"/>
      <c r="D9" s="50">
        <v>809</v>
      </c>
      <c r="E9" s="44" t="s">
        <v>865</v>
      </c>
      <c r="F9" s="37"/>
      <c r="G9" s="51"/>
      <c r="H9" s="52"/>
      <c r="I9" s="75">
        <f>125000000-110679746</f>
        <v>14320254</v>
      </c>
      <c r="J9" s="100" t="s">
        <v>196</v>
      </c>
      <c r="K9" s="49"/>
    </row>
    <row r="10" spans="1:11" x14ac:dyDescent="0.25">
      <c r="A10" s="48">
        <v>43039</v>
      </c>
      <c r="B10" s="44" t="s">
        <v>165</v>
      </c>
      <c r="C10" s="96"/>
      <c r="D10" s="50">
        <v>952</v>
      </c>
      <c r="E10" s="44" t="s">
        <v>1158</v>
      </c>
      <c r="F10" s="37"/>
      <c r="G10" s="51"/>
      <c r="H10" s="52"/>
      <c r="I10" s="75">
        <v>29175458</v>
      </c>
      <c r="J10" s="100"/>
      <c r="K10" s="49"/>
    </row>
    <row r="11" spans="1:11" x14ac:dyDescent="0.25">
      <c r="A11" s="48">
        <v>43047</v>
      </c>
      <c r="B11" s="44" t="s">
        <v>165</v>
      </c>
      <c r="C11" s="96"/>
      <c r="D11" s="50">
        <v>980</v>
      </c>
      <c r="E11" s="44" t="s">
        <v>1162</v>
      </c>
      <c r="F11" s="37"/>
      <c r="G11" s="51"/>
      <c r="H11" s="52"/>
      <c r="I11" s="75">
        <v>3492767</v>
      </c>
      <c r="J11" s="100"/>
      <c r="K11" s="49"/>
    </row>
    <row r="12" spans="1:11" ht="12.75" customHeight="1" x14ac:dyDescent="0.25">
      <c r="A12" s="48"/>
      <c r="B12" s="44"/>
      <c r="C12" s="49"/>
      <c r="D12" s="50"/>
      <c r="E12" s="44"/>
      <c r="F12" s="37"/>
      <c r="G12" s="51"/>
      <c r="H12" s="52"/>
      <c r="I12" s="75"/>
      <c r="J12" s="44"/>
      <c r="K12" s="49"/>
    </row>
    <row r="13" spans="1:11" x14ac:dyDescent="0.25">
      <c r="A13" s="55"/>
      <c r="B13" s="56"/>
      <c r="C13" s="56"/>
      <c r="D13" s="56"/>
      <c r="E13" s="56"/>
      <c r="F13" s="56"/>
      <c r="G13" s="527" t="s">
        <v>132</v>
      </c>
      <c r="H13" s="528"/>
      <c r="I13" s="77">
        <f>SUM(I8:I12)</f>
        <v>48324579</v>
      </c>
      <c r="J13" s="57"/>
      <c r="K13" s="58"/>
    </row>
    <row r="14" spans="1:11" ht="12.75" customHeight="1" x14ac:dyDescent="0.25">
      <c r="A14" s="3"/>
      <c r="B14" s="3"/>
      <c r="C14" s="3"/>
      <c r="D14" s="3"/>
      <c r="E14" s="3"/>
      <c r="F14" s="3"/>
      <c r="G14" s="3"/>
      <c r="H14" s="3"/>
      <c r="I14" s="22"/>
      <c r="J14" s="37"/>
      <c r="K14" s="49"/>
    </row>
    <row r="15" spans="1:11" x14ac:dyDescent="0.25">
      <c r="A15" s="529" t="s">
        <v>28</v>
      </c>
      <c r="B15" s="30" t="s">
        <v>38</v>
      </c>
      <c r="C15" s="60" t="s">
        <v>34</v>
      </c>
      <c r="D15" s="59" t="s">
        <v>34</v>
      </c>
      <c r="E15" s="533" t="s">
        <v>40</v>
      </c>
      <c r="F15" s="534"/>
      <c r="G15" s="534"/>
      <c r="H15" s="535"/>
      <c r="I15" s="529" t="s">
        <v>31</v>
      </c>
      <c r="J15" s="529" t="s">
        <v>29</v>
      </c>
      <c r="K15" s="60" t="s">
        <v>56</v>
      </c>
    </row>
    <row r="16" spans="1:11" x14ac:dyDescent="0.25">
      <c r="A16" s="530"/>
      <c r="B16" s="61" t="s">
        <v>39</v>
      </c>
      <c r="C16" s="61" t="s">
        <v>36</v>
      </c>
      <c r="D16" s="61" t="s">
        <v>35</v>
      </c>
      <c r="E16" s="533" t="s">
        <v>33</v>
      </c>
      <c r="F16" s="535"/>
      <c r="G16" s="533" t="s">
        <v>32</v>
      </c>
      <c r="H16" s="535"/>
      <c r="I16" s="530"/>
      <c r="J16" s="530"/>
      <c r="K16" s="61" t="s">
        <v>57</v>
      </c>
    </row>
    <row r="17" spans="1:11" ht="12.75" customHeight="1" x14ac:dyDescent="0.25">
      <c r="A17" s="41"/>
      <c r="B17" s="41"/>
      <c r="C17" s="41"/>
      <c r="D17" s="41"/>
      <c r="E17" s="44"/>
      <c r="F17" s="97"/>
      <c r="G17" s="44"/>
      <c r="H17" s="49"/>
      <c r="I17" s="62"/>
      <c r="J17" s="62"/>
      <c r="K17" s="62"/>
    </row>
    <row r="18" spans="1:11" x14ac:dyDescent="0.25">
      <c r="A18" s="89">
        <v>42809</v>
      </c>
      <c r="B18" s="275" t="s">
        <v>281</v>
      </c>
      <c r="C18" s="276">
        <v>241</v>
      </c>
      <c r="D18" s="277">
        <v>414</v>
      </c>
      <c r="E18" s="44" t="s">
        <v>194</v>
      </c>
      <c r="F18" s="87"/>
      <c r="G18" s="88" t="s">
        <v>277</v>
      </c>
      <c r="H18" s="87"/>
      <c r="I18" s="75">
        <v>214546296</v>
      </c>
      <c r="J18" s="79">
        <v>89177990</v>
      </c>
      <c r="K18" s="78">
        <f t="shared" ref="K18:K24" si="0">+I18-J18</f>
        <v>125368306</v>
      </c>
    </row>
    <row r="19" spans="1:11" x14ac:dyDescent="0.25">
      <c r="A19" s="89">
        <v>42874</v>
      </c>
      <c r="B19" s="275" t="s">
        <v>417</v>
      </c>
      <c r="C19" s="91">
        <v>276</v>
      </c>
      <c r="D19" s="91">
        <v>686</v>
      </c>
      <c r="E19" s="44" t="s">
        <v>416</v>
      </c>
      <c r="F19" s="87"/>
      <c r="G19" s="88" t="s">
        <v>96</v>
      </c>
      <c r="H19" s="87"/>
      <c r="I19" s="75">
        <v>170000</v>
      </c>
      <c r="J19" s="79">
        <v>170000</v>
      </c>
      <c r="K19" s="78">
        <f t="shared" si="0"/>
        <v>0</v>
      </c>
    </row>
    <row r="20" spans="1:11" x14ac:dyDescent="0.25">
      <c r="A20" s="89">
        <v>42909</v>
      </c>
      <c r="B20" s="275" t="s">
        <v>417</v>
      </c>
      <c r="C20" s="91">
        <v>276</v>
      </c>
      <c r="D20" s="91">
        <v>797</v>
      </c>
      <c r="E20" s="90" t="s">
        <v>545</v>
      </c>
      <c r="F20" s="87"/>
      <c r="G20" s="88" t="s">
        <v>96</v>
      </c>
      <c r="H20" s="87"/>
      <c r="I20" s="79">
        <v>238000</v>
      </c>
      <c r="J20" s="79">
        <v>238000</v>
      </c>
      <c r="K20" s="78">
        <f t="shared" si="0"/>
        <v>0</v>
      </c>
    </row>
    <row r="21" spans="1:11" x14ac:dyDescent="0.25">
      <c r="A21" s="89">
        <v>42962</v>
      </c>
      <c r="B21" s="275" t="s">
        <v>417</v>
      </c>
      <c r="C21" s="91">
        <v>276</v>
      </c>
      <c r="D21" s="91">
        <v>895</v>
      </c>
      <c r="E21" s="90" t="s">
        <v>710</v>
      </c>
      <c r="F21" s="87"/>
      <c r="G21" s="88" t="s">
        <v>96</v>
      </c>
      <c r="H21" s="87"/>
      <c r="I21" s="79">
        <v>5000</v>
      </c>
      <c r="J21" s="79">
        <v>5000</v>
      </c>
      <c r="K21" s="78">
        <f t="shared" si="0"/>
        <v>0</v>
      </c>
    </row>
    <row r="22" spans="1:11" x14ac:dyDescent="0.25">
      <c r="A22" s="89">
        <v>42983</v>
      </c>
      <c r="B22" s="275" t="s">
        <v>417</v>
      </c>
      <c r="C22" s="91">
        <v>276</v>
      </c>
      <c r="D22" s="91">
        <v>954</v>
      </c>
      <c r="E22" s="90" t="s">
        <v>807</v>
      </c>
      <c r="F22" s="87"/>
      <c r="G22" s="88" t="s">
        <v>96</v>
      </c>
      <c r="H22" s="87"/>
      <c r="I22" s="79">
        <v>79900</v>
      </c>
      <c r="J22" s="79">
        <v>79900</v>
      </c>
      <c r="K22" s="78">
        <f t="shared" si="0"/>
        <v>0</v>
      </c>
    </row>
    <row r="23" spans="1:11" x14ac:dyDescent="0.25">
      <c r="A23" s="89">
        <v>43012</v>
      </c>
      <c r="B23" s="275" t="s">
        <v>1053</v>
      </c>
      <c r="C23" s="91">
        <v>809</v>
      </c>
      <c r="D23" s="91">
        <v>1133</v>
      </c>
      <c r="E23" s="90" t="s">
        <v>1054</v>
      </c>
      <c r="F23" s="87"/>
      <c r="G23" s="88" t="s">
        <v>1055</v>
      </c>
      <c r="H23" s="87"/>
      <c r="I23" s="79">
        <v>110679746</v>
      </c>
      <c r="J23" s="79">
        <v>0</v>
      </c>
      <c r="K23" s="78">
        <f t="shared" si="0"/>
        <v>110679746</v>
      </c>
    </row>
    <row r="24" spans="1:11" x14ac:dyDescent="0.25">
      <c r="A24" s="89">
        <v>43026</v>
      </c>
      <c r="B24" s="275" t="s">
        <v>417</v>
      </c>
      <c r="C24" s="91">
        <v>276</v>
      </c>
      <c r="D24" s="91">
        <v>1166</v>
      </c>
      <c r="E24" s="88" t="s">
        <v>1074</v>
      </c>
      <c r="F24" s="87"/>
      <c r="G24" s="88" t="s">
        <v>96</v>
      </c>
      <c r="H24" s="87"/>
      <c r="I24" s="79">
        <v>136000</v>
      </c>
      <c r="J24" s="79">
        <v>136000</v>
      </c>
      <c r="K24" s="78">
        <f t="shared" si="0"/>
        <v>0</v>
      </c>
    </row>
    <row r="25" spans="1:11" x14ac:dyDescent="0.25">
      <c r="A25" s="89">
        <v>43033</v>
      </c>
      <c r="B25" s="275" t="s">
        <v>417</v>
      </c>
      <c r="C25" s="91">
        <v>276</v>
      </c>
      <c r="D25" s="91">
        <v>1209</v>
      </c>
      <c r="E25" s="88" t="s">
        <v>1137</v>
      </c>
      <c r="F25" s="87"/>
      <c r="G25" s="88" t="s">
        <v>96</v>
      </c>
      <c r="H25" s="87"/>
      <c r="I25" s="79">
        <v>235000</v>
      </c>
      <c r="J25" s="79">
        <v>235000</v>
      </c>
      <c r="K25" s="78"/>
    </row>
    <row r="26" spans="1:11" ht="12.75" customHeight="1" x14ac:dyDescent="0.25">
      <c r="A26" s="48"/>
      <c r="B26" s="63"/>
      <c r="C26" s="41"/>
      <c r="D26" s="41"/>
      <c r="E26" s="44"/>
      <c r="F26" s="49"/>
      <c r="G26" s="44"/>
      <c r="H26" s="49"/>
      <c r="I26" s="94"/>
      <c r="J26" s="179"/>
      <c r="K26" s="179"/>
    </row>
    <row r="27" spans="1:11" x14ac:dyDescent="0.25">
      <c r="A27" s="55"/>
      <c r="B27" s="56"/>
      <c r="C27" s="56"/>
      <c r="D27" s="56"/>
      <c r="E27" s="56"/>
      <c r="F27" s="56"/>
      <c r="G27" s="527" t="s">
        <v>132</v>
      </c>
      <c r="H27" s="528"/>
      <c r="I27" s="83">
        <f>SUM(I18:I26)</f>
        <v>326089942</v>
      </c>
      <c r="J27" s="70">
        <f>SUM(J18:J26)</f>
        <v>90041890</v>
      </c>
      <c r="K27" s="70">
        <f>SUM(K18:K26)</f>
        <v>236048052</v>
      </c>
    </row>
    <row r="28" spans="1:11" ht="12.75" customHeight="1" x14ac:dyDescent="0.25">
      <c r="A28" s="3"/>
      <c r="B28" s="3"/>
      <c r="C28" s="3"/>
      <c r="D28" s="3"/>
      <c r="E28" s="3"/>
      <c r="F28" s="3"/>
      <c r="G28" s="3"/>
      <c r="H28" s="3"/>
      <c r="I28" s="22"/>
      <c r="J28" s="93"/>
      <c r="K28" s="175"/>
    </row>
    <row r="29" spans="1:11" ht="24.95" customHeight="1" x14ac:dyDescent="0.25">
      <c r="A29" s="31" t="s">
        <v>58</v>
      </c>
      <c r="B29" s="31" t="s">
        <v>133</v>
      </c>
      <c r="C29" s="31" t="s">
        <v>30</v>
      </c>
      <c r="D29" s="32" t="s">
        <v>59</v>
      </c>
      <c r="E29" s="31" t="s">
        <v>40</v>
      </c>
      <c r="F29" s="31" t="s">
        <v>62</v>
      </c>
      <c r="G29" s="31" t="s">
        <v>37</v>
      </c>
      <c r="H29" s="31" t="s">
        <v>60</v>
      </c>
      <c r="I29" s="31" t="s">
        <v>61</v>
      </c>
      <c r="J29" s="31" t="s">
        <v>99</v>
      </c>
      <c r="K29" s="31" t="s">
        <v>68</v>
      </c>
    </row>
    <row r="30" spans="1:11" ht="24.95" customHeight="1" x14ac:dyDescent="0.25">
      <c r="A30" s="81">
        <v>525394000</v>
      </c>
      <c r="B30" s="81">
        <v>-150000000</v>
      </c>
      <c r="C30" s="81">
        <v>0</v>
      </c>
      <c r="D30" s="82">
        <f>+A30+B30-C30</f>
        <v>375394000</v>
      </c>
      <c r="E30" s="82">
        <f>+I27</f>
        <v>326089942</v>
      </c>
      <c r="F30" s="72">
        <f>+E30/D30</f>
        <v>0.86866050602833289</v>
      </c>
      <c r="G30" s="82">
        <f>+I13</f>
        <v>48324579</v>
      </c>
      <c r="H30" s="82">
        <f>+D30-E30-G30</f>
        <v>979479</v>
      </c>
      <c r="I30" s="146">
        <f>+J27</f>
        <v>90041890</v>
      </c>
      <c r="J30" s="73">
        <f>+I30/D30</f>
        <v>0.23985969408141847</v>
      </c>
      <c r="K30" s="146">
        <f>+K27</f>
        <v>236048052</v>
      </c>
    </row>
    <row r="31" spans="1:11" x14ac:dyDescent="0.25">
      <c r="A31" s="74">
        <v>1</v>
      </c>
      <c r="B31" s="74">
        <v>2</v>
      </c>
      <c r="C31" s="74">
        <v>3</v>
      </c>
      <c r="D31" s="74" t="s">
        <v>42</v>
      </c>
      <c r="E31" s="74">
        <v>5</v>
      </c>
      <c r="F31" s="74" t="s">
        <v>69</v>
      </c>
      <c r="G31" s="74">
        <v>7</v>
      </c>
      <c r="H31" s="74" t="s">
        <v>70</v>
      </c>
      <c r="I31" s="74">
        <v>9</v>
      </c>
      <c r="J31" s="74" t="s">
        <v>100</v>
      </c>
      <c r="K31" s="74" t="s">
        <v>101</v>
      </c>
    </row>
  </sheetData>
  <mergeCells count="15">
    <mergeCell ref="J15:J16"/>
    <mergeCell ref="I15:I16"/>
    <mergeCell ref="A15:A16"/>
    <mergeCell ref="B5:B6"/>
    <mergeCell ref="D5:D6"/>
    <mergeCell ref="I5:I6"/>
    <mergeCell ref="J5:K6"/>
    <mergeCell ref="A5:A6"/>
    <mergeCell ref="G27:H27"/>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J14" sqref="J14:J17"/>
    </sheetView>
  </sheetViews>
  <sheetFormatPr baseColWidth="10" defaultRowHeight="15" x14ac:dyDescent="0.25"/>
  <cols>
    <col min="1" max="2" width="15.7109375" style="33" customWidth="1"/>
    <col min="3" max="3" width="14.7109375" style="33" customWidth="1"/>
    <col min="4" max="11" width="15.7109375" style="33" customWidth="1"/>
    <col min="12" max="16384" width="11.42578125" style="33"/>
  </cols>
  <sheetData>
    <row r="1" spans="1:11" ht="12.75" customHeight="1" x14ac:dyDescent="0.25">
      <c r="A1" s="2" t="s">
        <v>98</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34" t="s">
        <v>134</v>
      </c>
      <c r="B3" s="84" t="s">
        <v>135</v>
      </c>
      <c r="C3" s="34"/>
      <c r="D3" s="34"/>
      <c r="E3" s="35"/>
      <c r="F3" s="35"/>
      <c r="G3" s="35"/>
      <c r="H3" s="35"/>
      <c r="I3" s="35"/>
      <c r="J3" s="36"/>
      <c r="K3" s="489" t="s">
        <v>1161</v>
      </c>
    </row>
    <row r="4" spans="1:11" ht="12.75" customHeight="1" x14ac:dyDescent="0.25">
      <c r="A4" s="3"/>
      <c r="B4" s="3"/>
      <c r="C4" s="3"/>
      <c r="D4" s="3"/>
      <c r="E4" s="3"/>
      <c r="F4" s="3"/>
      <c r="G4" s="3"/>
      <c r="H4" s="3"/>
      <c r="I4" s="3"/>
      <c r="J4" s="37"/>
      <c r="K4" s="38"/>
    </row>
    <row r="5" spans="1:11" x14ac:dyDescent="0.25">
      <c r="A5" s="529" t="s">
        <v>28</v>
      </c>
      <c r="B5" s="531" t="s">
        <v>131</v>
      </c>
      <c r="C5" s="39"/>
      <c r="D5" s="529" t="s">
        <v>71</v>
      </c>
      <c r="E5" s="533" t="s">
        <v>37</v>
      </c>
      <c r="F5" s="534"/>
      <c r="G5" s="534"/>
      <c r="H5" s="535"/>
      <c r="I5" s="529" t="s">
        <v>31</v>
      </c>
      <c r="J5" s="536" t="s">
        <v>41</v>
      </c>
      <c r="K5" s="537"/>
    </row>
    <row r="6" spans="1:11" ht="15.75" customHeight="1" x14ac:dyDescent="0.25">
      <c r="A6" s="530"/>
      <c r="B6" s="532"/>
      <c r="C6" s="40"/>
      <c r="D6" s="530"/>
      <c r="E6" s="533" t="s">
        <v>33</v>
      </c>
      <c r="F6" s="534"/>
      <c r="G6" s="534"/>
      <c r="H6" s="535"/>
      <c r="I6" s="530"/>
      <c r="J6" s="538"/>
      <c r="K6" s="539"/>
    </row>
    <row r="7" spans="1:11" ht="12.75" customHeight="1" x14ac:dyDescent="0.25">
      <c r="A7" s="150"/>
      <c r="B7" s="42"/>
      <c r="C7" s="43"/>
      <c r="D7" s="44"/>
      <c r="E7" s="42"/>
      <c r="F7" s="45"/>
      <c r="G7" s="46"/>
      <c r="H7" s="47"/>
      <c r="I7" s="75"/>
      <c r="J7" s="42"/>
      <c r="K7" s="43"/>
    </row>
    <row r="8" spans="1:11" x14ac:dyDescent="0.25">
      <c r="A8" s="48">
        <v>42741</v>
      </c>
      <c r="B8" s="102" t="s">
        <v>165</v>
      </c>
      <c r="C8" s="103"/>
      <c r="D8" s="50">
        <v>20</v>
      </c>
      <c r="E8" s="104" t="s">
        <v>170</v>
      </c>
      <c r="F8" s="105"/>
      <c r="G8" s="105"/>
      <c r="H8" s="106"/>
      <c r="I8" s="75">
        <f>25429904-25429902</f>
        <v>2</v>
      </c>
      <c r="J8" s="107" t="s">
        <v>196</v>
      </c>
      <c r="K8" s="49"/>
    </row>
    <row r="9" spans="1:11" ht="12.75" customHeight="1" x14ac:dyDescent="0.25">
      <c r="A9" s="48"/>
      <c r="B9" s="53"/>
      <c r="C9" s="54"/>
      <c r="D9" s="44"/>
      <c r="E9" s="44"/>
      <c r="F9" s="37"/>
      <c r="G9" s="51"/>
      <c r="H9" s="52"/>
      <c r="I9" s="76"/>
      <c r="J9" s="44"/>
      <c r="K9" s="49"/>
    </row>
    <row r="10" spans="1:11" x14ac:dyDescent="0.25">
      <c r="A10" s="55"/>
      <c r="B10" s="56"/>
      <c r="C10" s="56"/>
      <c r="D10" s="56"/>
      <c r="E10" s="56"/>
      <c r="F10" s="56"/>
      <c r="G10" s="527" t="s">
        <v>132</v>
      </c>
      <c r="H10" s="528"/>
      <c r="I10" s="77">
        <f>SUM(I7:I9)</f>
        <v>2</v>
      </c>
      <c r="J10" s="57"/>
      <c r="K10" s="58"/>
    </row>
    <row r="11" spans="1:11" ht="12.75" customHeight="1" x14ac:dyDescent="0.25">
      <c r="A11" s="3"/>
      <c r="B11" s="3"/>
      <c r="C11" s="3"/>
      <c r="D11" s="3"/>
      <c r="E11" s="3"/>
      <c r="F11" s="3"/>
      <c r="G11" s="3"/>
      <c r="H11" s="3"/>
      <c r="I11" s="22"/>
      <c r="J11" s="37"/>
      <c r="K11" s="49"/>
    </row>
    <row r="12" spans="1:11" x14ac:dyDescent="0.25">
      <c r="A12" s="529" t="s">
        <v>28</v>
      </c>
      <c r="B12" s="30" t="s">
        <v>38</v>
      </c>
      <c r="C12" s="60" t="s">
        <v>34</v>
      </c>
      <c r="D12" s="59" t="s">
        <v>34</v>
      </c>
      <c r="E12" s="533" t="s">
        <v>40</v>
      </c>
      <c r="F12" s="534"/>
      <c r="G12" s="534"/>
      <c r="H12" s="535"/>
      <c r="I12" s="529" t="s">
        <v>31</v>
      </c>
      <c r="J12" s="529" t="s">
        <v>29</v>
      </c>
      <c r="K12" s="60" t="s">
        <v>56</v>
      </c>
    </row>
    <row r="13" spans="1:11" x14ac:dyDescent="0.25">
      <c r="A13" s="530"/>
      <c r="B13" s="61" t="s">
        <v>39</v>
      </c>
      <c r="C13" s="61" t="s">
        <v>36</v>
      </c>
      <c r="D13" s="61" t="s">
        <v>35</v>
      </c>
      <c r="E13" s="533" t="s">
        <v>33</v>
      </c>
      <c r="F13" s="535"/>
      <c r="G13" s="533" t="s">
        <v>32</v>
      </c>
      <c r="H13" s="535"/>
      <c r="I13" s="530"/>
      <c r="J13" s="530"/>
      <c r="K13" s="61" t="s">
        <v>57</v>
      </c>
    </row>
    <row r="14" spans="1:11" ht="12.75" customHeight="1" x14ac:dyDescent="0.25">
      <c r="A14" s="48">
        <v>42741</v>
      </c>
      <c r="B14" s="41" t="s">
        <v>169</v>
      </c>
      <c r="C14" s="64">
        <v>20</v>
      </c>
      <c r="D14" s="50">
        <v>10</v>
      </c>
      <c r="E14" s="44" t="s">
        <v>170</v>
      </c>
      <c r="F14" s="49"/>
      <c r="G14" s="44" t="s">
        <v>171</v>
      </c>
      <c r="H14" s="49"/>
      <c r="I14" s="67">
        <v>25429902</v>
      </c>
      <c r="J14" s="67">
        <v>25429902</v>
      </c>
      <c r="K14" s="67">
        <f>+I14-J14</f>
        <v>0</v>
      </c>
    </row>
    <row r="15" spans="1:11" x14ac:dyDescent="0.25">
      <c r="A15" s="48">
        <v>42916</v>
      </c>
      <c r="B15" s="63" t="s">
        <v>169</v>
      </c>
      <c r="C15" s="64">
        <v>723</v>
      </c>
      <c r="D15" s="50">
        <v>814</v>
      </c>
      <c r="E15" s="44" t="s">
        <v>574</v>
      </c>
      <c r="F15" s="66"/>
      <c r="G15" s="65" t="s">
        <v>171</v>
      </c>
      <c r="H15" s="66"/>
      <c r="I15" s="67">
        <v>6624597</v>
      </c>
      <c r="J15" s="67">
        <v>6624597</v>
      </c>
      <c r="K15" s="67">
        <f>+I15-J15</f>
        <v>0</v>
      </c>
    </row>
    <row r="16" spans="1:11" x14ac:dyDescent="0.25">
      <c r="A16" s="48">
        <v>43014</v>
      </c>
      <c r="B16" s="63" t="s">
        <v>1056</v>
      </c>
      <c r="C16" s="64">
        <v>864</v>
      </c>
      <c r="D16" s="50">
        <v>1142</v>
      </c>
      <c r="E16" s="44" t="s">
        <v>1057</v>
      </c>
      <c r="F16" s="66"/>
      <c r="G16" s="65" t="s">
        <v>171</v>
      </c>
      <c r="H16" s="66"/>
      <c r="I16" s="67">
        <v>7123222</v>
      </c>
      <c r="J16" s="67">
        <v>3561611</v>
      </c>
      <c r="K16" s="67">
        <f>+I16-J16</f>
        <v>3561611</v>
      </c>
    </row>
    <row r="17" spans="1:11" x14ac:dyDescent="0.25">
      <c r="A17" s="48">
        <v>43019</v>
      </c>
      <c r="B17" s="63" t="s">
        <v>1075</v>
      </c>
      <c r="C17" s="64">
        <v>813</v>
      </c>
      <c r="D17" s="50">
        <v>1149</v>
      </c>
      <c r="E17" s="44" t="s">
        <v>1076</v>
      </c>
      <c r="F17" s="66"/>
      <c r="G17" s="65" t="s">
        <v>1077</v>
      </c>
      <c r="H17" s="66"/>
      <c r="I17" s="67">
        <v>13278419</v>
      </c>
      <c r="J17" s="67">
        <v>48</v>
      </c>
      <c r="K17" s="67">
        <f>+I17-J17</f>
        <v>13278371</v>
      </c>
    </row>
    <row r="18" spans="1:11" ht="12.75" customHeight="1" x14ac:dyDescent="0.25">
      <c r="A18" s="48"/>
      <c r="B18" s="63"/>
      <c r="C18" s="64"/>
      <c r="D18" s="50"/>
      <c r="E18" s="44"/>
      <c r="F18" s="49"/>
      <c r="G18" s="44"/>
      <c r="H18" s="49"/>
      <c r="I18" s="69"/>
      <c r="J18" s="69"/>
      <c r="K18" s="69"/>
    </row>
    <row r="19" spans="1:11" x14ac:dyDescent="0.25">
      <c r="A19" s="55"/>
      <c r="B19" s="56"/>
      <c r="C19" s="56"/>
      <c r="D19" s="56"/>
      <c r="E19" s="56"/>
      <c r="F19" s="56"/>
      <c r="G19" s="527" t="s">
        <v>132</v>
      </c>
      <c r="H19" s="528"/>
      <c r="I19" s="70">
        <f>SUM(I14:I18)</f>
        <v>52456140</v>
      </c>
      <c r="J19" s="70">
        <f>SUM(J14:J18)</f>
        <v>35616158</v>
      </c>
      <c r="K19" s="70">
        <f>SUM(K14:K18)</f>
        <v>16839982</v>
      </c>
    </row>
    <row r="20" spans="1:11" ht="12.75" customHeight="1" x14ac:dyDescent="0.25">
      <c r="A20" s="3"/>
      <c r="B20" s="3"/>
      <c r="C20" s="3"/>
      <c r="D20" s="3"/>
      <c r="E20" s="3"/>
      <c r="F20" s="3"/>
      <c r="G20" s="3"/>
      <c r="H20" s="3"/>
      <c r="I20" s="98"/>
      <c r="J20" s="98"/>
      <c r="K20" s="56"/>
    </row>
    <row r="21" spans="1:11" ht="24.95" customHeight="1" x14ac:dyDescent="0.25">
      <c r="A21" s="31" t="s">
        <v>58</v>
      </c>
      <c r="B21" s="31" t="s">
        <v>133</v>
      </c>
      <c r="C21" s="31" t="s">
        <v>30</v>
      </c>
      <c r="D21" s="32" t="s">
        <v>59</v>
      </c>
      <c r="E21" s="31" t="s">
        <v>40</v>
      </c>
      <c r="F21" s="31" t="s">
        <v>62</v>
      </c>
      <c r="G21" s="31" t="s">
        <v>37</v>
      </c>
      <c r="H21" s="31" t="s">
        <v>60</v>
      </c>
      <c r="I21" s="31" t="s">
        <v>61</v>
      </c>
      <c r="J21" s="31" t="s">
        <v>99</v>
      </c>
      <c r="K21" s="31" t="s">
        <v>68</v>
      </c>
    </row>
    <row r="22" spans="1:11" ht="24.95" customHeight="1" x14ac:dyDescent="0.25">
      <c r="A22" s="95">
        <v>120800000</v>
      </c>
      <c r="B22" s="95">
        <v>-22000000</v>
      </c>
      <c r="C22" s="95">
        <v>0</v>
      </c>
      <c r="D22" s="82">
        <f>+A22+B22-C22</f>
        <v>98800000</v>
      </c>
      <c r="E22" s="82">
        <f>+I19</f>
        <v>52456140</v>
      </c>
      <c r="F22" s="72">
        <f>+E22/D22</f>
        <v>0.53093259109311741</v>
      </c>
      <c r="G22" s="82">
        <f>+I10</f>
        <v>2</v>
      </c>
      <c r="H22" s="82">
        <f>+D22-E22-G22</f>
        <v>46343858</v>
      </c>
      <c r="I22" s="82">
        <f>+J19</f>
        <v>35616158</v>
      </c>
      <c r="J22" s="73">
        <f>+I22/D22</f>
        <v>0.36048742914979759</v>
      </c>
      <c r="K22" s="82">
        <f>+K19</f>
        <v>16839982</v>
      </c>
    </row>
    <row r="23" spans="1:11" x14ac:dyDescent="0.25">
      <c r="A23" s="74">
        <v>1</v>
      </c>
      <c r="B23" s="74">
        <v>2</v>
      </c>
      <c r="C23" s="74">
        <v>3</v>
      </c>
      <c r="D23" s="74" t="s">
        <v>42</v>
      </c>
      <c r="E23" s="74">
        <v>5</v>
      </c>
      <c r="F23" s="74" t="s">
        <v>69</v>
      </c>
      <c r="G23" s="74">
        <v>7</v>
      </c>
      <c r="H23" s="74" t="s">
        <v>70</v>
      </c>
      <c r="I23" s="74">
        <v>9</v>
      </c>
      <c r="J23" s="74" t="s">
        <v>100</v>
      </c>
      <c r="K23" s="74" t="s">
        <v>101</v>
      </c>
    </row>
  </sheetData>
  <mergeCells count="15">
    <mergeCell ref="A5:A6"/>
    <mergeCell ref="B5:B6"/>
    <mergeCell ref="D5:D6"/>
    <mergeCell ref="E5:H5"/>
    <mergeCell ref="I5:I6"/>
    <mergeCell ref="J5:K6"/>
    <mergeCell ref="E6:H6"/>
    <mergeCell ref="G19:H19"/>
    <mergeCell ref="G10:H10"/>
    <mergeCell ref="A12:A13"/>
    <mergeCell ref="E12:H12"/>
    <mergeCell ref="I12:I13"/>
    <mergeCell ref="J12:J13"/>
    <mergeCell ref="E13:F13"/>
    <mergeCell ref="G13:H13"/>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B34" sqref="B34"/>
    </sheetView>
  </sheetViews>
  <sheetFormatPr baseColWidth="10" defaultRowHeight="15" x14ac:dyDescent="0.25"/>
  <cols>
    <col min="1" max="2" width="15.7109375" style="33" customWidth="1"/>
    <col min="3" max="3" width="14.7109375" style="33" customWidth="1"/>
    <col min="4" max="9" width="15.7109375" style="33" customWidth="1"/>
    <col min="10" max="10" width="15.7109375" style="238" customWidth="1"/>
    <col min="11" max="11" width="15.7109375" style="33" customWidth="1"/>
    <col min="12" max="16384" width="11.42578125" style="33"/>
  </cols>
  <sheetData>
    <row r="1" spans="1:11" ht="12.75" customHeight="1" x14ac:dyDescent="0.25">
      <c r="A1" s="2" t="s">
        <v>98</v>
      </c>
      <c r="B1" s="2"/>
      <c r="C1" s="2"/>
      <c r="D1" s="2"/>
      <c r="E1" s="3"/>
      <c r="F1" s="2"/>
      <c r="G1" s="3"/>
      <c r="H1" s="3"/>
      <c r="I1" s="3"/>
      <c r="J1" s="166"/>
      <c r="K1" s="3"/>
    </row>
    <row r="2" spans="1:11" ht="12.75" customHeight="1" x14ac:dyDescent="0.25">
      <c r="A2" s="3"/>
      <c r="B2" s="3"/>
      <c r="C2" s="3"/>
      <c r="D2" s="3"/>
      <c r="E2" s="3"/>
      <c r="F2" s="3"/>
      <c r="G2" s="3"/>
      <c r="H2" s="3"/>
      <c r="I2" s="3"/>
      <c r="J2" s="166"/>
      <c r="K2" s="4"/>
    </row>
    <row r="3" spans="1:11" ht="15" customHeight="1" x14ac:dyDescent="0.25">
      <c r="A3" s="301" t="s">
        <v>614</v>
      </c>
      <c r="B3" s="304" t="s">
        <v>615</v>
      </c>
      <c r="C3" s="301"/>
      <c r="D3" s="301"/>
      <c r="E3" s="302"/>
      <c r="F3" s="302"/>
      <c r="G3" s="302"/>
      <c r="H3" s="302"/>
      <c r="I3" s="302"/>
      <c r="J3" s="303"/>
      <c r="K3" s="489" t="s">
        <v>1161</v>
      </c>
    </row>
    <row r="4" spans="1:11" ht="12.75" customHeight="1" x14ac:dyDescent="0.25">
      <c r="A4" s="3"/>
      <c r="B4" s="3"/>
      <c r="C4" s="3"/>
      <c r="D4" s="3"/>
      <c r="E4" s="3"/>
      <c r="F4" s="3"/>
      <c r="G4" s="3"/>
      <c r="H4" s="3"/>
      <c r="I4" s="3"/>
      <c r="J4" s="17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278"/>
      <c r="B7" s="152"/>
      <c r="C7" s="142"/>
      <c r="D7" s="129"/>
      <c r="E7" s="65"/>
      <c r="F7" s="114"/>
      <c r="G7" s="114"/>
      <c r="H7" s="115"/>
      <c r="I7" s="253"/>
      <c r="J7" s="92"/>
      <c r="K7" s="60"/>
    </row>
    <row r="8" spans="1:11" x14ac:dyDescent="0.25">
      <c r="A8" s="109"/>
      <c r="B8" s="44"/>
      <c r="C8" s="96"/>
      <c r="D8" s="110"/>
      <c r="E8" s="53"/>
      <c r="F8" s="37"/>
      <c r="G8" s="51"/>
      <c r="H8" s="52"/>
      <c r="I8" s="75"/>
      <c r="J8" s="237"/>
      <c r="K8" s="41"/>
    </row>
    <row r="9" spans="1:11" x14ac:dyDescent="0.25">
      <c r="A9" s="55"/>
      <c r="B9" s="55"/>
      <c r="C9" s="111"/>
      <c r="D9" s="112"/>
      <c r="E9" s="56"/>
      <c r="F9" s="56"/>
      <c r="G9" s="527" t="s">
        <v>132</v>
      </c>
      <c r="H9" s="528"/>
      <c r="I9" s="77">
        <f>SUM(I7:I8)</f>
        <v>0</v>
      </c>
      <c r="J9" s="241"/>
      <c r="K9" s="254"/>
    </row>
    <row r="10" spans="1:11" ht="12.75" customHeight="1" x14ac:dyDescent="0.25">
      <c r="A10" s="3"/>
      <c r="B10" s="3"/>
      <c r="C10" s="3"/>
      <c r="D10" s="3"/>
      <c r="E10" s="3"/>
      <c r="F10" s="3"/>
      <c r="G10" s="3"/>
      <c r="H10" s="3"/>
      <c r="I10" s="52"/>
      <c r="J10" s="177"/>
      <c r="K10" s="49"/>
    </row>
    <row r="11" spans="1:11" x14ac:dyDescent="0.25">
      <c r="A11" s="529" t="s">
        <v>28</v>
      </c>
      <c r="B11" s="30" t="s">
        <v>38</v>
      </c>
      <c r="C11" s="60" t="s">
        <v>34</v>
      </c>
      <c r="D11" s="59" t="s">
        <v>34</v>
      </c>
      <c r="E11" s="533" t="s">
        <v>40</v>
      </c>
      <c r="F11" s="534"/>
      <c r="G11" s="534"/>
      <c r="H11" s="535"/>
      <c r="I11" s="529" t="s">
        <v>31</v>
      </c>
      <c r="J11" s="540" t="s">
        <v>29</v>
      </c>
      <c r="K11" s="60" t="s">
        <v>56</v>
      </c>
    </row>
    <row r="12" spans="1:11" x14ac:dyDescent="0.25">
      <c r="A12" s="530"/>
      <c r="B12" s="61" t="s">
        <v>39</v>
      </c>
      <c r="C12" s="61" t="s">
        <v>36</v>
      </c>
      <c r="D12" s="61" t="s">
        <v>35</v>
      </c>
      <c r="E12" s="533" t="s">
        <v>33</v>
      </c>
      <c r="F12" s="535"/>
      <c r="G12" s="533" t="s">
        <v>32</v>
      </c>
      <c r="H12" s="535"/>
      <c r="I12" s="530"/>
      <c r="J12" s="541"/>
      <c r="K12" s="61" t="s">
        <v>57</v>
      </c>
    </row>
    <row r="13" spans="1:11" x14ac:dyDescent="0.25">
      <c r="A13" s="89">
        <v>42895</v>
      </c>
      <c r="B13" s="92" t="s">
        <v>616</v>
      </c>
      <c r="C13" s="64">
        <v>681</v>
      </c>
      <c r="D13" s="64">
        <v>740</v>
      </c>
      <c r="E13" s="92" t="s">
        <v>622</v>
      </c>
      <c r="F13" s="97"/>
      <c r="G13" s="117" t="s">
        <v>623</v>
      </c>
      <c r="H13" s="87"/>
      <c r="I13" s="79">
        <v>1173423</v>
      </c>
      <c r="J13" s="79">
        <v>1173423</v>
      </c>
      <c r="K13" s="101"/>
    </row>
    <row r="14" spans="1:11" x14ac:dyDescent="0.25">
      <c r="A14" s="89">
        <v>42898</v>
      </c>
      <c r="B14" s="92" t="s">
        <v>617</v>
      </c>
      <c r="C14" s="64">
        <v>681</v>
      </c>
      <c r="D14" s="64">
        <v>748</v>
      </c>
      <c r="E14" s="92" t="s">
        <v>622</v>
      </c>
      <c r="F14" s="97"/>
      <c r="G14" s="117" t="s">
        <v>624</v>
      </c>
      <c r="H14" s="87"/>
      <c r="I14" s="79">
        <v>704054</v>
      </c>
      <c r="J14" s="79">
        <v>704054</v>
      </c>
      <c r="K14" s="101"/>
    </row>
    <row r="15" spans="1:11" x14ac:dyDescent="0.25">
      <c r="A15" s="89">
        <v>42899</v>
      </c>
      <c r="B15" s="92" t="s">
        <v>618</v>
      </c>
      <c r="C15" s="64">
        <v>681</v>
      </c>
      <c r="D15" s="64">
        <v>752</v>
      </c>
      <c r="E15" s="92" t="s">
        <v>622</v>
      </c>
      <c r="F15" s="97"/>
      <c r="G15" s="117" t="s">
        <v>625</v>
      </c>
      <c r="H15" s="87"/>
      <c r="I15" s="79">
        <v>110175</v>
      </c>
      <c r="J15" s="79">
        <v>110175</v>
      </c>
      <c r="K15" s="101"/>
    </row>
    <row r="16" spans="1:11" x14ac:dyDescent="0.25">
      <c r="A16" s="89">
        <v>42901</v>
      </c>
      <c r="B16" s="92" t="s">
        <v>619</v>
      </c>
      <c r="C16" s="64">
        <v>681</v>
      </c>
      <c r="D16" s="64">
        <v>760</v>
      </c>
      <c r="E16" s="92" t="s">
        <v>622</v>
      </c>
      <c r="F16" s="97"/>
      <c r="G16" s="117" t="s">
        <v>626</v>
      </c>
      <c r="H16" s="87"/>
      <c r="I16" s="79">
        <v>704054</v>
      </c>
      <c r="J16" s="79">
        <v>704054</v>
      </c>
      <c r="K16" s="101"/>
    </row>
    <row r="17" spans="1:11" x14ac:dyDescent="0.25">
      <c r="A17" s="89">
        <v>42901</v>
      </c>
      <c r="B17" s="92" t="s">
        <v>620</v>
      </c>
      <c r="C17" s="64">
        <v>681</v>
      </c>
      <c r="D17" s="64">
        <v>761</v>
      </c>
      <c r="E17" s="92" t="s">
        <v>622</v>
      </c>
      <c r="F17" s="97"/>
      <c r="G17" s="117" t="s">
        <v>627</v>
      </c>
      <c r="H17" s="87"/>
      <c r="I17" s="79">
        <v>330524</v>
      </c>
      <c r="J17" s="79">
        <v>330524</v>
      </c>
      <c r="K17" s="101"/>
    </row>
    <row r="18" spans="1:11" x14ac:dyDescent="0.25">
      <c r="A18" s="89">
        <v>42902</v>
      </c>
      <c r="B18" s="92" t="s">
        <v>621</v>
      </c>
      <c r="C18" s="64">
        <v>681</v>
      </c>
      <c r="D18" s="64">
        <v>771</v>
      </c>
      <c r="E18" s="92" t="s">
        <v>622</v>
      </c>
      <c r="F18" s="97"/>
      <c r="G18" s="117" t="s">
        <v>628</v>
      </c>
      <c r="H18" s="87"/>
      <c r="I18" s="79">
        <v>234685</v>
      </c>
      <c r="J18" s="79">
        <v>234685</v>
      </c>
      <c r="K18" s="101"/>
    </row>
    <row r="19" spans="1:11" x14ac:dyDescent="0.25">
      <c r="A19" s="89">
        <v>42909</v>
      </c>
      <c r="B19" s="92" t="s">
        <v>616</v>
      </c>
      <c r="C19" s="64">
        <v>681</v>
      </c>
      <c r="D19" s="64">
        <v>796</v>
      </c>
      <c r="E19" s="92" t="s">
        <v>622</v>
      </c>
      <c r="F19" s="97"/>
      <c r="G19" s="117" t="s">
        <v>623</v>
      </c>
      <c r="H19" s="87"/>
      <c r="I19" s="79">
        <v>270457</v>
      </c>
      <c r="J19" s="79">
        <v>270457</v>
      </c>
      <c r="K19" s="101"/>
    </row>
    <row r="20" spans="1:11" x14ac:dyDescent="0.25">
      <c r="A20" s="89">
        <v>42909</v>
      </c>
      <c r="B20" s="92" t="s">
        <v>617</v>
      </c>
      <c r="C20" s="64">
        <v>681</v>
      </c>
      <c r="D20" s="64">
        <v>798</v>
      </c>
      <c r="E20" s="92" t="s">
        <v>622</v>
      </c>
      <c r="F20" s="97"/>
      <c r="G20" s="117" t="s">
        <v>624</v>
      </c>
      <c r="H20" s="87"/>
      <c r="I20" s="79">
        <v>435310</v>
      </c>
      <c r="J20" s="79">
        <v>435310</v>
      </c>
      <c r="K20" s="101"/>
    </row>
    <row r="21" spans="1:11" x14ac:dyDescent="0.25">
      <c r="A21" s="89">
        <v>42909</v>
      </c>
      <c r="B21" s="37" t="s">
        <v>619</v>
      </c>
      <c r="C21" s="64">
        <v>681</v>
      </c>
      <c r="D21" s="91">
        <v>799</v>
      </c>
      <c r="E21" s="92" t="s">
        <v>622</v>
      </c>
      <c r="F21" s="97"/>
      <c r="G21" s="117" t="s">
        <v>626</v>
      </c>
      <c r="H21" s="87"/>
      <c r="I21" s="79">
        <v>387480</v>
      </c>
      <c r="J21" s="79">
        <v>387480</v>
      </c>
      <c r="K21" s="101"/>
    </row>
    <row r="22" spans="1:11" x14ac:dyDescent="0.25">
      <c r="A22" s="89">
        <v>42909</v>
      </c>
      <c r="B22" s="92" t="s">
        <v>620</v>
      </c>
      <c r="C22" s="64">
        <v>681</v>
      </c>
      <c r="D22" s="91">
        <v>800</v>
      </c>
      <c r="E22" s="37" t="s">
        <v>622</v>
      </c>
      <c r="F22" s="97"/>
      <c r="G22" s="117" t="s">
        <v>627</v>
      </c>
      <c r="H22" s="87"/>
      <c r="I22" s="79">
        <v>422600</v>
      </c>
      <c r="J22" s="79">
        <v>422600</v>
      </c>
      <c r="K22" s="101"/>
    </row>
    <row r="23" spans="1:11" x14ac:dyDescent="0.25">
      <c r="A23" s="89">
        <v>42909</v>
      </c>
      <c r="B23" s="92" t="s">
        <v>618</v>
      </c>
      <c r="C23" s="64">
        <v>681</v>
      </c>
      <c r="D23" s="91">
        <v>801</v>
      </c>
      <c r="E23" s="37" t="s">
        <v>622</v>
      </c>
      <c r="F23" s="97"/>
      <c r="G23" s="117" t="s">
        <v>625</v>
      </c>
      <c r="H23" s="87"/>
      <c r="I23" s="79">
        <v>402470</v>
      </c>
      <c r="J23" s="79">
        <v>402470</v>
      </c>
      <c r="K23" s="101"/>
    </row>
    <row r="24" spans="1:11" x14ac:dyDescent="0.25">
      <c r="A24" s="89">
        <v>43034</v>
      </c>
      <c r="B24" s="92" t="s">
        <v>1138</v>
      </c>
      <c r="C24" s="64">
        <v>891</v>
      </c>
      <c r="D24" s="91">
        <v>1219</v>
      </c>
      <c r="E24" s="506" t="s">
        <v>1139</v>
      </c>
      <c r="F24" s="97"/>
      <c r="G24" s="117" t="s">
        <v>624</v>
      </c>
      <c r="H24" s="87"/>
      <c r="I24" s="79">
        <v>1673644</v>
      </c>
      <c r="J24" s="79">
        <v>1673644</v>
      </c>
      <c r="K24" s="101"/>
    </row>
    <row r="25" spans="1:11" x14ac:dyDescent="0.25">
      <c r="A25" s="89">
        <v>43034</v>
      </c>
      <c r="B25" s="92" t="s">
        <v>1138</v>
      </c>
      <c r="C25" s="64">
        <v>891</v>
      </c>
      <c r="D25" s="91">
        <v>1220</v>
      </c>
      <c r="E25" s="506" t="s">
        <v>1140</v>
      </c>
      <c r="F25" s="97"/>
      <c r="G25" s="117" t="s">
        <v>1143</v>
      </c>
      <c r="H25" s="87"/>
      <c r="I25" s="79">
        <v>1673644</v>
      </c>
      <c r="J25" s="79">
        <v>1673644</v>
      </c>
      <c r="K25" s="101"/>
    </row>
    <row r="26" spans="1:11" x14ac:dyDescent="0.25">
      <c r="A26" s="89">
        <v>43034</v>
      </c>
      <c r="B26" s="92" t="s">
        <v>1138</v>
      </c>
      <c r="C26" s="64">
        <v>891</v>
      </c>
      <c r="D26" s="91">
        <v>1222</v>
      </c>
      <c r="E26" s="506" t="s">
        <v>1141</v>
      </c>
      <c r="F26" s="97"/>
      <c r="G26" s="117" t="s">
        <v>1143</v>
      </c>
      <c r="H26" s="87"/>
      <c r="I26" s="79">
        <v>1738740</v>
      </c>
      <c r="J26" s="79">
        <v>1738740</v>
      </c>
      <c r="K26" s="101"/>
    </row>
    <row r="27" spans="1:11" x14ac:dyDescent="0.25">
      <c r="A27" s="89">
        <v>43034</v>
      </c>
      <c r="B27" s="92" t="s">
        <v>1138</v>
      </c>
      <c r="C27" s="91">
        <v>891</v>
      </c>
      <c r="D27" s="91">
        <v>1223</v>
      </c>
      <c r="E27" s="506" t="s">
        <v>1142</v>
      </c>
      <c r="F27" s="97"/>
      <c r="G27" s="117" t="s">
        <v>624</v>
      </c>
      <c r="H27" s="87"/>
      <c r="I27" s="79">
        <v>1738740</v>
      </c>
      <c r="J27" s="79">
        <v>1738740</v>
      </c>
      <c r="K27" s="101"/>
    </row>
    <row r="28" spans="1:11" x14ac:dyDescent="0.25">
      <c r="A28" s="89">
        <v>43061</v>
      </c>
      <c r="B28" s="92" t="s">
        <v>1178</v>
      </c>
      <c r="C28" s="91">
        <v>997</v>
      </c>
      <c r="D28" s="91">
        <v>1318</v>
      </c>
      <c r="E28" s="37" t="s">
        <v>1179</v>
      </c>
      <c r="F28" s="97"/>
      <c r="G28" s="117" t="s">
        <v>1180</v>
      </c>
      <c r="H28" s="87"/>
      <c r="I28" s="79">
        <v>2070612</v>
      </c>
      <c r="J28" s="79">
        <v>1070612</v>
      </c>
      <c r="K28" s="101">
        <f>+I28-J28</f>
        <v>1000000</v>
      </c>
    </row>
    <row r="29" spans="1:11" x14ac:dyDescent="0.25">
      <c r="A29" s="89"/>
      <c r="B29" s="263"/>
      <c r="C29" s="91"/>
      <c r="D29" s="91"/>
      <c r="E29" s="37"/>
      <c r="F29" s="97"/>
      <c r="G29" s="117"/>
      <c r="H29" s="87"/>
      <c r="I29" s="79"/>
      <c r="J29" s="79"/>
      <c r="K29" s="101"/>
    </row>
    <row r="30" spans="1:11" x14ac:dyDescent="0.25">
      <c r="A30" s="118"/>
      <c r="B30" s="119"/>
      <c r="C30" s="110"/>
      <c r="D30" s="110"/>
      <c r="E30" s="37"/>
      <c r="F30" s="54"/>
      <c r="G30" s="37"/>
      <c r="H30" s="54"/>
      <c r="I30" s="78"/>
      <c r="J30" s="94"/>
      <c r="K30" s="78"/>
    </row>
    <row r="31" spans="1:11" ht="12.75" customHeight="1" x14ac:dyDescent="0.25">
      <c r="A31" s="55"/>
      <c r="B31" s="56"/>
      <c r="C31" s="56"/>
      <c r="D31" s="56"/>
      <c r="E31" s="56"/>
      <c r="F31" s="56"/>
      <c r="G31" s="527" t="s">
        <v>132</v>
      </c>
      <c r="H31" s="528"/>
      <c r="I31" s="83">
        <f>SUM(I13:I30)</f>
        <v>14070612</v>
      </c>
      <c r="J31" s="83">
        <f>SUM(J13:J30)</f>
        <v>13070612</v>
      </c>
      <c r="K31" s="83">
        <f>SUM(K13:K30)</f>
        <v>1000000</v>
      </c>
    </row>
    <row r="32" spans="1:11" ht="24.95" customHeight="1" x14ac:dyDescent="0.25">
      <c r="A32" s="56"/>
      <c r="B32" s="56"/>
      <c r="C32" s="56"/>
      <c r="D32" s="56"/>
      <c r="E32" s="56"/>
      <c r="F32" s="56"/>
      <c r="G32" s="56"/>
      <c r="H32" s="56"/>
      <c r="I32" s="300"/>
      <c r="J32" s="178"/>
      <c r="K32" s="178"/>
    </row>
    <row r="33" spans="1:11" ht="24.95" customHeight="1" x14ac:dyDescent="0.25">
      <c r="A33" s="31" t="s">
        <v>58</v>
      </c>
      <c r="B33" s="31" t="s">
        <v>133</v>
      </c>
      <c r="C33" s="31" t="s">
        <v>30</v>
      </c>
      <c r="D33" s="32" t="s">
        <v>59</v>
      </c>
      <c r="E33" s="31" t="s">
        <v>40</v>
      </c>
      <c r="F33" s="31" t="s">
        <v>62</v>
      </c>
      <c r="G33" s="31" t="s">
        <v>37</v>
      </c>
      <c r="H33" s="31" t="s">
        <v>60</v>
      </c>
      <c r="I33" s="31" t="s">
        <v>61</v>
      </c>
      <c r="J33" s="242" t="s">
        <v>99</v>
      </c>
      <c r="K33" s="31" t="s">
        <v>68</v>
      </c>
    </row>
    <row r="34" spans="1:11" x14ac:dyDescent="0.25">
      <c r="A34" s="95"/>
      <c r="B34" s="95">
        <f>12000000+2070612</f>
        <v>14070612</v>
      </c>
      <c r="C34" s="95">
        <v>0</v>
      </c>
      <c r="D34" s="82">
        <f>+A34+B34-C34</f>
        <v>14070612</v>
      </c>
      <c r="E34" s="82">
        <f>+I31</f>
        <v>14070612</v>
      </c>
      <c r="F34" s="72">
        <f>+E34/D34</f>
        <v>1</v>
      </c>
      <c r="G34" s="82">
        <f>+I9</f>
        <v>0</v>
      </c>
      <c r="H34" s="82">
        <f>+D34-E34-G34</f>
        <v>0</v>
      </c>
      <c r="I34" s="146">
        <f>+J31</f>
        <v>13070612</v>
      </c>
      <c r="J34" s="73">
        <f>+I34/D34</f>
        <v>0.92892988592109571</v>
      </c>
      <c r="K34" s="146">
        <f>+K31</f>
        <v>1000000</v>
      </c>
    </row>
    <row r="35" spans="1:11" x14ac:dyDescent="0.25">
      <c r="A35" s="74">
        <v>1</v>
      </c>
      <c r="B35" s="74">
        <v>2</v>
      </c>
      <c r="C35" s="74">
        <v>3</v>
      </c>
      <c r="D35" s="74" t="s">
        <v>42</v>
      </c>
      <c r="E35" s="74">
        <v>5</v>
      </c>
      <c r="F35" s="74" t="s">
        <v>69</v>
      </c>
      <c r="G35" s="74">
        <v>7</v>
      </c>
      <c r="H35" s="74" t="s">
        <v>70</v>
      </c>
      <c r="I35" s="74">
        <v>9</v>
      </c>
      <c r="J35" s="243" t="s">
        <v>100</v>
      </c>
      <c r="K35" s="74" t="s">
        <v>101</v>
      </c>
    </row>
    <row r="37" spans="1:11" x14ac:dyDescent="0.25">
      <c r="B37" s="238"/>
      <c r="E37" s="238"/>
      <c r="G37" s="238"/>
    </row>
  </sheetData>
  <mergeCells count="15">
    <mergeCell ref="A5:A6"/>
    <mergeCell ref="B5:B6"/>
    <mergeCell ref="D5:D6"/>
    <mergeCell ref="E5:H5"/>
    <mergeCell ref="I5:I6"/>
    <mergeCell ref="J5:K6"/>
    <mergeCell ref="E6:H6"/>
    <mergeCell ref="J11:J12"/>
    <mergeCell ref="E12:F12"/>
    <mergeCell ref="G12:H12"/>
    <mergeCell ref="G31:H31"/>
    <mergeCell ref="G9:H9"/>
    <mergeCell ref="A11:A12"/>
    <mergeCell ref="E11:H11"/>
    <mergeCell ref="I11:I12"/>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E51" sqref="E51"/>
    </sheetView>
  </sheetViews>
  <sheetFormatPr baseColWidth="10" defaultRowHeight="15" x14ac:dyDescent="0.25"/>
  <cols>
    <col min="1" max="2" width="15.7109375" style="33" customWidth="1"/>
    <col min="3" max="3" width="14.7109375" style="33" customWidth="1"/>
    <col min="4" max="9" width="15.7109375" style="33" customWidth="1"/>
    <col min="10" max="10" width="15.7109375" style="238" customWidth="1"/>
    <col min="11" max="11" width="15.7109375" style="33" customWidth="1"/>
    <col min="12" max="16384" width="11.42578125" style="33"/>
  </cols>
  <sheetData>
    <row r="1" spans="1:11" ht="12.75" customHeight="1" x14ac:dyDescent="0.25">
      <c r="A1" s="2" t="s">
        <v>98</v>
      </c>
      <c r="B1" s="2"/>
      <c r="C1" s="2"/>
      <c r="D1" s="2"/>
      <c r="E1" s="3"/>
      <c r="F1" s="2"/>
      <c r="G1" s="3"/>
      <c r="H1" s="3"/>
      <c r="I1" s="3"/>
      <c r="J1" s="166"/>
      <c r="K1" s="3"/>
    </row>
    <row r="2" spans="1:11" ht="12.75" customHeight="1" x14ac:dyDescent="0.25">
      <c r="A2" s="3"/>
      <c r="B2" s="3"/>
      <c r="C2" s="3"/>
      <c r="D2" s="3"/>
      <c r="E2" s="3"/>
      <c r="F2" s="3"/>
      <c r="G2" s="3"/>
      <c r="H2" s="3"/>
      <c r="I2" s="3"/>
      <c r="J2" s="166"/>
      <c r="K2" s="4"/>
    </row>
    <row r="3" spans="1:11" ht="15" customHeight="1" x14ac:dyDescent="0.25">
      <c r="A3" s="34" t="s">
        <v>105</v>
      </c>
      <c r="B3" s="84" t="s">
        <v>47</v>
      </c>
      <c r="C3" s="34"/>
      <c r="D3" s="34"/>
      <c r="E3" s="35"/>
      <c r="F3" s="35"/>
      <c r="G3" s="35"/>
      <c r="H3" s="35"/>
      <c r="I3" s="35"/>
      <c r="J3" s="240"/>
      <c r="K3" s="489" t="s">
        <v>1161</v>
      </c>
    </row>
    <row r="4" spans="1:11" ht="12.75" customHeight="1" x14ac:dyDescent="0.25">
      <c r="A4" s="3"/>
      <c r="B4" s="3"/>
      <c r="C4" s="3"/>
      <c r="D4" s="3"/>
      <c r="E4" s="3"/>
      <c r="F4" s="3"/>
      <c r="G4" s="3"/>
      <c r="H4" s="3"/>
      <c r="I4" s="3"/>
      <c r="J4" s="177"/>
      <c r="K4" s="38"/>
    </row>
    <row r="5" spans="1:11" x14ac:dyDescent="0.25">
      <c r="A5" s="529" t="s">
        <v>28</v>
      </c>
      <c r="B5" s="531" t="s">
        <v>131</v>
      </c>
      <c r="C5" s="39"/>
      <c r="D5" s="529" t="s">
        <v>71</v>
      </c>
      <c r="E5" s="533" t="s">
        <v>37</v>
      </c>
      <c r="F5" s="534"/>
      <c r="G5" s="534"/>
      <c r="H5" s="535"/>
      <c r="I5" s="529" t="s">
        <v>31</v>
      </c>
      <c r="J5" s="536" t="s">
        <v>41</v>
      </c>
      <c r="K5" s="537"/>
    </row>
    <row r="6" spans="1:11" x14ac:dyDescent="0.25">
      <c r="A6" s="530"/>
      <c r="B6" s="532"/>
      <c r="C6" s="40"/>
      <c r="D6" s="530"/>
      <c r="E6" s="533" t="s">
        <v>33</v>
      </c>
      <c r="F6" s="534"/>
      <c r="G6" s="534"/>
      <c r="H6" s="535"/>
      <c r="I6" s="530"/>
      <c r="J6" s="538"/>
      <c r="K6" s="539"/>
    </row>
    <row r="7" spans="1:11" x14ac:dyDescent="0.25">
      <c r="A7" s="278">
        <v>42747</v>
      </c>
      <c r="B7" s="152" t="s">
        <v>159</v>
      </c>
      <c r="C7" s="142"/>
      <c r="D7" s="129">
        <v>38</v>
      </c>
      <c r="E7" s="65" t="s">
        <v>160</v>
      </c>
      <c r="F7" s="114"/>
      <c r="G7" s="114"/>
      <c r="H7" s="115"/>
      <c r="I7" s="253">
        <f>1622500-60600-62092-62092-155147-62092-102600-166600-102600-102600-102600-205200</f>
        <v>438277</v>
      </c>
      <c r="J7" s="92" t="s">
        <v>196</v>
      </c>
      <c r="K7" s="60"/>
    </row>
    <row r="8" spans="1:11" x14ac:dyDescent="0.25">
      <c r="A8" s="278">
        <v>42747</v>
      </c>
      <c r="B8" s="152" t="s">
        <v>159</v>
      </c>
      <c r="C8" s="142"/>
      <c r="D8" s="129">
        <v>40</v>
      </c>
      <c r="E8" s="65" t="s">
        <v>161</v>
      </c>
      <c r="F8" s="114"/>
      <c r="G8" s="114"/>
      <c r="H8" s="115"/>
      <c r="I8" s="253">
        <f>61934000-18325395-560345-3549289-24845023</f>
        <v>14653948</v>
      </c>
      <c r="J8" s="92" t="s">
        <v>196</v>
      </c>
      <c r="K8" s="91"/>
    </row>
    <row r="9" spans="1:11" ht="15" customHeight="1" x14ac:dyDescent="0.25">
      <c r="A9" s="109">
        <v>42752</v>
      </c>
      <c r="B9" s="152" t="s">
        <v>159</v>
      </c>
      <c r="C9" s="96"/>
      <c r="D9" s="50">
        <v>90</v>
      </c>
      <c r="E9" s="65" t="s">
        <v>162</v>
      </c>
      <c r="F9" s="37"/>
      <c r="G9" s="51"/>
      <c r="H9" s="52"/>
      <c r="I9" s="253">
        <f>9726875-503997-5359011-2296717</f>
        <v>1567150</v>
      </c>
      <c r="J9" s="92" t="s">
        <v>196</v>
      </c>
      <c r="K9" s="64"/>
    </row>
    <row r="10" spans="1:11" ht="15" customHeight="1" x14ac:dyDescent="0.25">
      <c r="A10" s="109">
        <v>42752</v>
      </c>
      <c r="B10" s="152" t="s">
        <v>159</v>
      </c>
      <c r="C10" s="96"/>
      <c r="D10" s="50">
        <v>276</v>
      </c>
      <c r="E10" s="307" t="s">
        <v>193</v>
      </c>
      <c r="F10" s="37"/>
      <c r="G10" s="51"/>
      <c r="H10" s="52"/>
      <c r="I10" s="253">
        <f>8400000-222200-121200-276000-175390-25400</f>
        <v>7579810</v>
      </c>
      <c r="J10" s="92" t="s">
        <v>196</v>
      </c>
      <c r="K10" s="64"/>
    </row>
    <row r="11" spans="1:11" ht="15" customHeight="1" x14ac:dyDescent="0.25">
      <c r="A11" s="109">
        <v>42961</v>
      </c>
      <c r="B11" s="152" t="s">
        <v>159</v>
      </c>
      <c r="C11" s="96"/>
      <c r="D11" s="50">
        <v>779</v>
      </c>
      <c r="E11" s="307" t="s">
        <v>715</v>
      </c>
      <c r="F11" s="37"/>
      <c r="G11" s="51"/>
      <c r="H11" s="52"/>
      <c r="I11" s="253">
        <f>100000000-72464996</f>
        <v>27535004</v>
      </c>
      <c r="J11" s="92"/>
      <c r="K11" s="64"/>
    </row>
    <row r="12" spans="1:11" x14ac:dyDescent="0.25">
      <c r="A12" s="109"/>
      <c r="B12" s="44"/>
      <c r="C12" s="96"/>
      <c r="D12" s="110"/>
      <c r="E12" s="53"/>
      <c r="F12" s="37"/>
      <c r="G12" s="51"/>
      <c r="H12" s="52"/>
      <c r="I12" s="75"/>
      <c r="J12" s="237"/>
      <c r="K12" s="41"/>
    </row>
    <row r="13" spans="1:11" x14ac:dyDescent="0.25">
      <c r="A13" s="55"/>
      <c r="B13" s="55"/>
      <c r="C13" s="111"/>
      <c r="D13" s="112"/>
      <c r="E13" s="56"/>
      <c r="F13" s="56"/>
      <c r="G13" s="527" t="s">
        <v>132</v>
      </c>
      <c r="H13" s="528"/>
      <c r="I13" s="77">
        <f>SUM(I7:I12)</f>
        <v>51774189</v>
      </c>
      <c r="J13" s="241"/>
      <c r="K13" s="254"/>
    </row>
    <row r="14" spans="1:11" ht="12.75" customHeight="1" x14ac:dyDescent="0.25">
      <c r="A14" s="3"/>
      <c r="B14" s="3"/>
      <c r="C14" s="3"/>
      <c r="D14" s="3"/>
      <c r="E14" s="3"/>
      <c r="F14" s="3"/>
      <c r="G14" s="3"/>
      <c r="H14" s="3"/>
      <c r="I14" s="52"/>
      <c r="J14" s="177"/>
      <c r="K14" s="49"/>
    </row>
    <row r="15" spans="1:11" x14ac:dyDescent="0.25">
      <c r="A15" s="529" t="s">
        <v>28</v>
      </c>
      <c r="B15" s="30" t="s">
        <v>38</v>
      </c>
      <c r="C15" s="60" t="s">
        <v>34</v>
      </c>
      <c r="D15" s="59" t="s">
        <v>34</v>
      </c>
      <c r="E15" s="533" t="s">
        <v>40</v>
      </c>
      <c r="F15" s="534"/>
      <c r="G15" s="534"/>
      <c r="H15" s="535"/>
      <c r="I15" s="529" t="s">
        <v>31</v>
      </c>
      <c r="J15" s="540" t="s">
        <v>29</v>
      </c>
      <c r="K15" s="60" t="s">
        <v>56</v>
      </c>
    </row>
    <row r="16" spans="1:11" x14ac:dyDescent="0.25">
      <c r="A16" s="530"/>
      <c r="B16" s="61" t="s">
        <v>39</v>
      </c>
      <c r="C16" s="61" t="s">
        <v>36</v>
      </c>
      <c r="D16" s="61" t="s">
        <v>35</v>
      </c>
      <c r="E16" s="533" t="s">
        <v>33</v>
      </c>
      <c r="F16" s="535"/>
      <c r="G16" s="533" t="s">
        <v>32</v>
      </c>
      <c r="H16" s="535"/>
      <c r="I16" s="530"/>
      <c r="J16" s="541"/>
      <c r="K16" s="61" t="s">
        <v>57</v>
      </c>
    </row>
    <row r="17" spans="1:11" ht="15" customHeight="1" x14ac:dyDescent="0.25">
      <c r="A17" s="89">
        <v>42751</v>
      </c>
      <c r="B17" s="263" t="s">
        <v>173</v>
      </c>
      <c r="C17" s="91">
        <v>15</v>
      </c>
      <c r="D17" s="91">
        <v>50</v>
      </c>
      <c r="E17" s="92" t="s">
        <v>172</v>
      </c>
      <c r="F17" s="92"/>
      <c r="G17" s="88" t="s">
        <v>174</v>
      </c>
      <c r="H17" s="87"/>
      <c r="I17" s="79">
        <v>115000000</v>
      </c>
      <c r="J17" s="79">
        <v>107363681</v>
      </c>
      <c r="K17" s="101">
        <f t="shared" ref="K17:K45" si="0">+I17-J17</f>
        <v>7636319</v>
      </c>
    </row>
    <row r="18" spans="1:11" x14ac:dyDescent="0.25">
      <c r="A18" s="89">
        <v>42752</v>
      </c>
      <c r="B18" s="263" t="s">
        <v>175</v>
      </c>
      <c r="C18" s="64">
        <v>38</v>
      </c>
      <c r="D18" s="64">
        <v>56</v>
      </c>
      <c r="E18" s="92" t="s">
        <v>176</v>
      </c>
      <c r="F18" s="97"/>
      <c r="G18" s="117" t="s">
        <v>151</v>
      </c>
      <c r="H18" s="87"/>
      <c r="I18" s="79">
        <v>60600</v>
      </c>
      <c r="J18" s="79">
        <v>60600</v>
      </c>
      <c r="K18" s="101">
        <f t="shared" si="0"/>
        <v>0</v>
      </c>
    </row>
    <row r="19" spans="1:11" x14ac:dyDescent="0.25">
      <c r="A19" s="89">
        <v>42781</v>
      </c>
      <c r="B19" s="263" t="s">
        <v>197</v>
      </c>
      <c r="C19" s="91">
        <v>38</v>
      </c>
      <c r="D19" s="91">
        <v>211</v>
      </c>
      <c r="E19" s="92" t="s">
        <v>199</v>
      </c>
      <c r="F19" s="97"/>
      <c r="G19" s="117" t="s">
        <v>151</v>
      </c>
      <c r="H19" s="87"/>
      <c r="I19" s="79">
        <v>62092</v>
      </c>
      <c r="J19" s="79">
        <v>62092</v>
      </c>
      <c r="K19" s="101">
        <f t="shared" si="0"/>
        <v>0</v>
      </c>
    </row>
    <row r="20" spans="1:11" x14ac:dyDescent="0.25">
      <c r="A20" s="89">
        <v>42781</v>
      </c>
      <c r="B20" s="263" t="s">
        <v>198</v>
      </c>
      <c r="C20" s="91">
        <v>90</v>
      </c>
      <c r="D20" s="91">
        <v>212</v>
      </c>
      <c r="E20" s="92" t="s">
        <v>200</v>
      </c>
      <c r="F20" s="97"/>
      <c r="G20" s="117" t="s">
        <v>201</v>
      </c>
      <c r="H20" s="87"/>
      <c r="I20" s="75">
        <v>503997</v>
      </c>
      <c r="J20" s="75">
        <v>503997</v>
      </c>
      <c r="K20" s="101">
        <f t="shared" si="0"/>
        <v>0</v>
      </c>
    </row>
    <row r="21" spans="1:11" x14ac:dyDescent="0.25">
      <c r="A21" s="89">
        <v>42810</v>
      </c>
      <c r="B21" s="263" t="s">
        <v>278</v>
      </c>
      <c r="C21" s="91">
        <v>38</v>
      </c>
      <c r="D21" s="91">
        <v>418</v>
      </c>
      <c r="E21" s="92" t="s">
        <v>279</v>
      </c>
      <c r="F21" s="97"/>
      <c r="G21" s="117" t="s">
        <v>151</v>
      </c>
      <c r="H21" s="87"/>
      <c r="I21" s="75">
        <v>62092</v>
      </c>
      <c r="J21" s="75">
        <v>62092</v>
      </c>
      <c r="K21" s="101">
        <f t="shared" si="0"/>
        <v>0</v>
      </c>
    </row>
    <row r="22" spans="1:11" x14ac:dyDescent="0.25">
      <c r="A22" s="89">
        <v>42825</v>
      </c>
      <c r="B22" s="263" t="s">
        <v>312</v>
      </c>
      <c r="C22" s="91">
        <v>434</v>
      </c>
      <c r="D22" s="91">
        <v>483</v>
      </c>
      <c r="E22" s="92" t="s">
        <v>314</v>
      </c>
      <c r="F22" s="97"/>
      <c r="G22" s="117" t="s">
        <v>317</v>
      </c>
      <c r="H22" s="87"/>
      <c r="I22" s="75">
        <v>225000000</v>
      </c>
      <c r="J22" s="75">
        <v>219308333</v>
      </c>
      <c r="K22" s="101">
        <f t="shared" si="0"/>
        <v>5691667</v>
      </c>
    </row>
    <row r="23" spans="1:11" x14ac:dyDescent="0.25">
      <c r="A23" s="89">
        <v>42832</v>
      </c>
      <c r="B23" s="263" t="s">
        <v>309</v>
      </c>
      <c r="C23" s="91">
        <v>38</v>
      </c>
      <c r="D23" s="91">
        <v>516</v>
      </c>
      <c r="E23" s="92" t="s">
        <v>315</v>
      </c>
      <c r="F23" s="97"/>
      <c r="G23" s="117" t="s">
        <v>318</v>
      </c>
      <c r="H23" s="87"/>
      <c r="I23" s="75">
        <v>155147</v>
      </c>
      <c r="J23" s="75">
        <v>155147</v>
      </c>
      <c r="K23" s="101">
        <f t="shared" si="0"/>
        <v>0</v>
      </c>
    </row>
    <row r="24" spans="1:11" x14ac:dyDescent="0.25">
      <c r="A24" s="48">
        <v>42832</v>
      </c>
      <c r="B24" s="263" t="s">
        <v>310</v>
      </c>
      <c r="C24" s="64">
        <v>40</v>
      </c>
      <c r="D24" s="64">
        <v>518</v>
      </c>
      <c r="E24" s="92" t="s">
        <v>316</v>
      </c>
      <c r="F24" s="97"/>
      <c r="G24" s="117" t="s">
        <v>280</v>
      </c>
      <c r="H24" s="87"/>
      <c r="I24" s="79">
        <v>18325395</v>
      </c>
      <c r="J24" s="79">
        <v>18325395</v>
      </c>
      <c r="K24" s="101">
        <f t="shared" si="0"/>
        <v>0</v>
      </c>
    </row>
    <row r="25" spans="1:11" x14ac:dyDescent="0.25">
      <c r="A25" s="89">
        <v>42836</v>
      </c>
      <c r="B25" s="263" t="s">
        <v>311</v>
      </c>
      <c r="C25" s="91">
        <v>38</v>
      </c>
      <c r="D25" s="91">
        <v>532</v>
      </c>
      <c r="E25" s="44" t="s">
        <v>313</v>
      </c>
      <c r="F25" s="97"/>
      <c r="G25" s="117" t="s">
        <v>151</v>
      </c>
      <c r="H25" s="87"/>
      <c r="I25" s="79">
        <v>62092</v>
      </c>
      <c r="J25" s="79">
        <v>62092</v>
      </c>
      <c r="K25" s="101">
        <f t="shared" si="0"/>
        <v>0</v>
      </c>
    </row>
    <row r="26" spans="1:11" x14ac:dyDescent="0.25">
      <c r="A26" s="89">
        <v>42853</v>
      </c>
      <c r="B26" s="263" t="s">
        <v>370</v>
      </c>
      <c r="C26" s="91">
        <v>555</v>
      </c>
      <c r="D26" s="91">
        <v>596</v>
      </c>
      <c r="E26" s="37" t="s">
        <v>371</v>
      </c>
      <c r="F26" s="97"/>
      <c r="G26" s="117" t="s">
        <v>174</v>
      </c>
      <c r="H26" s="87"/>
      <c r="I26" s="79">
        <v>434653232</v>
      </c>
      <c r="J26" s="79">
        <v>178373372</v>
      </c>
      <c r="K26" s="101">
        <f t="shared" si="0"/>
        <v>256279860</v>
      </c>
    </row>
    <row r="27" spans="1:11" x14ac:dyDescent="0.25">
      <c r="A27" s="89">
        <v>42864</v>
      </c>
      <c r="B27" s="263" t="s">
        <v>398</v>
      </c>
      <c r="C27" s="91">
        <v>38</v>
      </c>
      <c r="D27" s="91">
        <v>643</v>
      </c>
      <c r="E27" s="37" t="s">
        <v>399</v>
      </c>
      <c r="F27" s="97"/>
      <c r="G27" s="117" t="s">
        <v>318</v>
      </c>
      <c r="H27" s="87"/>
      <c r="I27" s="79">
        <v>102600</v>
      </c>
      <c r="J27" s="79">
        <v>102600</v>
      </c>
      <c r="K27" s="101">
        <f t="shared" si="0"/>
        <v>0</v>
      </c>
    </row>
    <row r="28" spans="1:11" x14ac:dyDescent="0.25">
      <c r="A28" s="89">
        <v>42874</v>
      </c>
      <c r="B28" s="263" t="s">
        <v>417</v>
      </c>
      <c r="C28" s="91">
        <v>276</v>
      </c>
      <c r="D28" s="91">
        <v>686</v>
      </c>
      <c r="E28" s="37" t="s">
        <v>416</v>
      </c>
      <c r="F28" s="97"/>
      <c r="G28" s="117" t="s">
        <v>96</v>
      </c>
      <c r="H28" s="87"/>
      <c r="I28" s="79">
        <v>222200</v>
      </c>
      <c r="J28" s="79">
        <v>222200</v>
      </c>
      <c r="K28" s="101">
        <f t="shared" si="0"/>
        <v>0</v>
      </c>
    </row>
    <row r="29" spans="1:11" x14ac:dyDescent="0.25">
      <c r="A29" s="89">
        <v>42906</v>
      </c>
      <c r="B29" s="263" t="s">
        <v>546</v>
      </c>
      <c r="C29" s="91">
        <v>38</v>
      </c>
      <c r="D29" s="91">
        <v>781</v>
      </c>
      <c r="E29" s="37" t="s">
        <v>547</v>
      </c>
      <c r="F29" s="97"/>
      <c r="G29" s="117" t="s">
        <v>318</v>
      </c>
      <c r="H29" s="87"/>
      <c r="I29" s="79">
        <v>166600</v>
      </c>
      <c r="J29" s="79">
        <v>166600</v>
      </c>
      <c r="K29" s="101">
        <f t="shared" si="0"/>
        <v>0</v>
      </c>
    </row>
    <row r="30" spans="1:11" x14ac:dyDescent="0.25">
      <c r="A30" s="89">
        <v>42909</v>
      </c>
      <c r="B30" s="263" t="s">
        <v>417</v>
      </c>
      <c r="C30" s="91">
        <v>276</v>
      </c>
      <c r="D30" s="91">
        <v>797</v>
      </c>
      <c r="E30" s="37" t="s">
        <v>545</v>
      </c>
      <c r="F30" s="97"/>
      <c r="G30" s="117" t="s">
        <v>96</v>
      </c>
      <c r="H30" s="87"/>
      <c r="I30" s="79">
        <v>121200</v>
      </c>
      <c r="J30" s="79">
        <v>121200</v>
      </c>
      <c r="K30" s="101">
        <f t="shared" si="0"/>
        <v>0</v>
      </c>
    </row>
    <row r="31" spans="1:11" x14ac:dyDescent="0.25">
      <c r="A31" s="89">
        <v>42930</v>
      </c>
      <c r="B31" s="263" t="s">
        <v>641</v>
      </c>
      <c r="C31" s="91">
        <v>38</v>
      </c>
      <c r="D31" s="91">
        <v>839</v>
      </c>
      <c r="E31" s="37" t="s">
        <v>642</v>
      </c>
      <c r="F31" s="97"/>
      <c r="G31" s="117" t="s">
        <v>318</v>
      </c>
      <c r="H31" s="87"/>
      <c r="I31" s="79">
        <v>102600</v>
      </c>
      <c r="J31" s="79">
        <v>102600</v>
      </c>
      <c r="K31" s="101">
        <f t="shared" si="0"/>
        <v>0</v>
      </c>
    </row>
    <row r="32" spans="1:11" x14ac:dyDescent="0.25">
      <c r="A32" s="89">
        <v>42958</v>
      </c>
      <c r="B32" s="263" t="s">
        <v>711</v>
      </c>
      <c r="C32" s="91">
        <v>38</v>
      </c>
      <c r="D32" s="91">
        <v>887</v>
      </c>
      <c r="E32" s="37" t="s">
        <v>713</v>
      </c>
      <c r="F32" s="97"/>
      <c r="G32" s="117" t="s">
        <v>318</v>
      </c>
      <c r="H32" s="87"/>
      <c r="I32" s="79">
        <v>102600</v>
      </c>
      <c r="J32" s="79">
        <v>102600</v>
      </c>
      <c r="K32" s="101">
        <f t="shared" si="0"/>
        <v>0</v>
      </c>
    </row>
    <row r="33" spans="1:11" x14ac:dyDescent="0.25">
      <c r="A33" s="89">
        <v>42958</v>
      </c>
      <c r="B33" s="263" t="s">
        <v>712</v>
      </c>
      <c r="C33" s="91">
        <v>731</v>
      </c>
      <c r="D33" s="91">
        <v>888</v>
      </c>
      <c r="E33" s="37" t="s">
        <v>714</v>
      </c>
      <c r="F33" s="97"/>
      <c r="G33" s="117" t="s">
        <v>317</v>
      </c>
      <c r="H33" s="87"/>
      <c r="I33" s="79">
        <v>150000000</v>
      </c>
      <c r="J33" s="79">
        <v>28400000</v>
      </c>
      <c r="K33" s="101">
        <f t="shared" si="0"/>
        <v>121600000</v>
      </c>
    </row>
    <row r="34" spans="1:11" x14ac:dyDescent="0.25">
      <c r="A34" s="89">
        <v>42962</v>
      </c>
      <c r="B34" s="263" t="s">
        <v>417</v>
      </c>
      <c r="C34" s="91">
        <v>276</v>
      </c>
      <c r="D34" s="91">
        <v>895</v>
      </c>
      <c r="E34" s="37" t="s">
        <v>710</v>
      </c>
      <c r="F34" s="97"/>
      <c r="G34" s="117" t="s">
        <v>96</v>
      </c>
      <c r="H34" s="87"/>
      <c r="I34" s="79">
        <v>276000</v>
      </c>
      <c r="J34" s="79">
        <v>276000</v>
      </c>
      <c r="K34" s="101">
        <f t="shared" si="0"/>
        <v>0</v>
      </c>
    </row>
    <row r="35" spans="1:11" x14ac:dyDescent="0.25">
      <c r="A35" s="89">
        <v>42969</v>
      </c>
      <c r="B35" s="263" t="s">
        <v>766</v>
      </c>
      <c r="C35" s="91">
        <v>90</v>
      </c>
      <c r="D35" s="91">
        <v>909</v>
      </c>
      <c r="E35" s="37" t="s">
        <v>767</v>
      </c>
      <c r="F35" s="97"/>
      <c r="G35" s="117" t="s">
        <v>201</v>
      </c>
      <c r="H35" s="87"/>
      <c r="I35" s="79">
        <v>5359011</v>
      </c>
      <c r="J35" s="79">
        <v>5359011</v>
      </c>
      <c r="K35" s="101">
        <f t="shared" si="0"/>
        <v>0</v>
      </c>
    </row>
    <row r="36" spans="1:11" x14ac:dyDescent="0.25">
      <c r="A36" s="89">
        <v>42984</v>
      </c>
      <c r="B36" s="263" t="s">
        <v>808</v>
      </c>
      <c r="C36" s="91">
        <v>38</v>
      </c>
      <c r="D36" s="91">
        <v>958</v>
      </c>
      <c r="E36" s="37" t="s">
        <v>809</v>
      </c>
      <c r="F36" s="97"/>
      <c r="G36" s="117" t="s">
        <v>318</v>
      </c>
      <c r="H36" s="87"/>
      <c r="I36" s="79">
        <v>102600</v>
      </c>
      <c r="J36" s="79">
        <v>102600</v>
      </c>
      <c r="K36" s="101">
        <f t="shared" si="0"/>
        <v>0</v>
      </c>
    </row>
    <row r="37" spans="1:11" x14ac:dyDescent="0.25">
      <c r="A37" s="89">
        <v>42999</v>
      </c>
      <c r="B37" s="263" t="s">
        <v>981</v>
      </c>
      <c r="C37" s="91">
        <v>40</v>
      </c>
      <c r="D37" s="91">
        <v>1055</v>
      </c>
      <c r="E37" s="37" t="s">
        <v>982</v>
      </c>
      <c r="F37" s="97"/>
      <c r="G37" s="117" t="s">
        <v>280</v>
      </c>
      <c r="H37" s="87"/>
      <c r="I37" s="79">
        <v>560345</v>
      </c>
      <c r="J37" s="79">
        <v>560345</v>
      </c>
      <c r="K37" s="101">
        <f t="shared" si="0"/>
        <v>0</v>
      </c>
    </row>
    <row r="38" spans="1:11" x14ac:dyDescent="0.25">
      <c r="A38" s="89">
        <v>43017</v>
      </c>
      <c r="B38" s="263" t="s">
        <v>1051</v>
      </c>
      <c r="C38" s="91">
        <v>779</v>
      </c>
      <c r="D38" s="91">
        <v>1144</v>
      </c>
      <c r="E38" s="37" t="s">
        <v>715</v>
      </c>
      <c r="F38" s="97"/>
      <c r="G38" s="117" t="s">
        <v>1052</v>
      </c>
      <c r="H38" s="87"/>
      <c r="I38" s="79">
        <v>72464996</v>
      </c>
      <c r="J38" s="79">
        <v>0</v>
      </c>
      <c r="K38" s="101">
        <f t="shared" si="0"/>
        <v>72464996</v>
      </c>
    </row>
    <row r="39" spans="1:11" x14ac:dyDescent="0.25">
      <c r="A39" s="89">
        <v>43020</v>
      </c>
      <c r="B39" s="263" t="s">
        <v>1078</v>
      </c>
      <c r="C39" s="91">
        <v>38</v>
      </c>
      <c r="D39" s="91">
        <v>1155</v>
      </c>
      <c r="E39" s="37" t="s">
        <v>1081</v>
      </c>
      <c r="F39" s="97"/>
      <c r="G39" s="117" t="s">
        <v>318</v>
      </c>
      <c r="H39" s="87"/>
      <c r="I39" s="79">
        <v>205200</v>
      </c>
      <c r="J39" s="79">
        <v>205200</v>
      </c>
      <c r="K39" s="101">
        <f t="shared" si="0"/>
        <v>0</v>
      </c>
    </row>
    <row r="40" spans="1:11" x14ac:dyDescent="0.25">
      <c r="A40" s="89">
        <v>43026</v>
      </c>
      <c r="B40" s="263" t="s">
        <v>1079</v>
      </c>
      <c r="C40" s="91">
        <v>40</v>
      </c>
      <c r="D40" s="91">
        <v>1165</v>
      </c>
      <c r="E40" s="37" t="s">
        <v>1082</v>
      </c>
      <c r="F40" s="97"/>
      <c r="G40" s="117" t="s">
        <v>280</v>
      </c>
      <c r="H40" s="87"/>
      <c r="I40" s="79">
        <v>3549289</v>
      </c>
      <c r="J40" s="79">
        <v>3549289</v>
      </c>
      <c r="K40" s="101">
        <f t="shared" si="0"/>
        <v>0</v>
      </c>
    </row>
    <row r="41" spans="1:11" x14ac:dyDescent="0.25">
      <c r="A41" s="89">
        <v>43026</v>
      </c>
      <c r="B41" s="263" t="s">
        <v>417</v>
      </c>
      <c r="C41" s="91">
        <v>276</v>
      </c>
      <c r="D41" s="91">
        <v>1166</v>
      </c>
      <c r="E41" s="37" t="s">
        <v>1074</v>
      </c>
      <c r="F41" s="97"/>
      <c r="G41" s="117" t="s">
        <v>96</v>
      </c>
      <c r="H41" s="87"/>
      <c r="I41" s="79">
        <v>175390</v>
      </c>
      <c r="J41" s="79">
        <v>175390</v>
      </c>
      <c r="K41" s="101">
        <f t="shared" si="0"/>
        <v>0</v>
      </c>
    </row>
    <row r="42" spans="1:11" x14ac:dyDescent="0.25">
      <c r="A42" s="89">
        <v>43031</v>
      </c>
      <c r="B42" s="263" t="s">
        <v>1080</v>
      </c>
      <c r="C42" s="91">
        <v>831</v>
      </c>
      <c r="D42" s="91">
        <v>1196</v>
      </c>
      <c r="E42" s="37" t="s">
        <v>1083</v>
      </c>
      <c r="F42" s="97"/>
      <c r="G42" s="117" t="s">
        <v>158</v>
      </c>
      <c r="H42" s="87"/>
      <c r="I42" s="79">
        <v>701723484</v>
      </c>
      <c r="J42" s="79">
        <v>0</v>
      </c>
      <c r="K42" s="101">
        <f t="shared" si="0"/>
        <v>701723484</v>
      </c>
    </row>
    <row r="43" spans="1:11" x14ac:dyDescent="0.25">
      <c r="A43" s="89">
        <v>43033</v>
      </c>
      <c r="B43" s="263" t="s">
        <v>417</v>
      </c>
      <c r="C43" s="91">
        <v>276</v>
      </c>
      <c r="D43" s="91">
        <v>1209</v>
      </c>
      <c r="E43" s="37" t="s">
        <v>1137</v>
      </c>
      <c r="F43" s="97"/>
      <c r="G43" s="117" t="s">
        <v>96</v>
      </c>
      <c r="H43" s="87"/>
      <c r="I43" s="79">
        <v>25400</v>
      </c>
      <c r="J43" s="79">
        <v>25400</v>
      </c>
      <c r="K43" s="101">
        <f t="shared" si="0"/>
        <v>0</v>
      </c>
    </row>
    <row r="44" spans="1:11" x14ac:dyDescent="0.25">
      <c r="A44" s="89">
        <v>43038</v>
      </c>
      <c r="B44" s="263" t="s">
        <v>1159</v>
      </c>
      <c r="C44" s="91">
        <v>40</v>
      </c>
      <c r="D44" s="91">
        <v>1235</v>
      </c>
      <c r="E44" s="37" t="s">
        <v>1160</v>
      </c>
      <c r="F44" s="97"/>
      <c r="G44" s="117" t="s">
        <v>280</v>
      </c>
      <c r="H44" s="87"/>
      <c r="I44" s="79">
        <v>24845023</v>
      </c>
      <c r="J44" s="79">
        <v>24845023</v>
      </c>
      <c r="K44" s="101">
        <f t="shared" si="0"/>
        <v>0</v>
      </c>
    </row>
    <row r="45" spans="1:11" x14ac:dyDescent="0.25">
      <c r="A45" s="89">
        <v>43060</v>
      </c>
      <c r="B45" s="263" t="s">
        <v>1181</v>
      </c>
      <c r="C45" s="91">
        <v>90</v>
      </c>
      <c r="D45" s="91">
        <v>1309</v>
      </c>
      <c r="E45" s="33" t="s">
        <v>1182</v>
      </c>
      <c r="F45" s="97"/>
      <c r="G45" s="37" t="s">
        <v>201</v>
      </c>
      <c r="H45" s="87"/>
      <c r="I45" s="79">
        <v>2296717</v>
      </c>
      <c r="J45" s="79">
        <v>2296717</v>
      </c>
      <c r="K45" s="101">
        <f t="shared" si="0"/>
        <v>0</v>
      </c>
    </row>
    <row r="46" spans="1:11" x14ac:dyDescent="0.25">
      <c r="A46" s="89"/>
      <c r="B46" s="263"/>
      <c r="C46" s="91"/>
      <c r="D46" s="91"/>
      <c r="E46" s="37"/>
      <c r="F46" s="97"/>
      <c r="G46" s="117"/>
      <c r="H46" s="87"/>
      <c r="I46" s="79"/>
      <c r="J46" s="79"/>
      <c r="K46" s="101"/>
    </row>
    <row r="47" spans="1:11" x14ac:dyDescent="0.25">
      <c r="A47" s="118"/>
      <c r="B47" s="119"/>
      <c r="C47" s="110"/>
      <c r="D47" s="110"/>
      <c r="E47" s="37"/>
      <c r="F47" s="54"/>
      <c r="G47" s="37"/>
      <c r="H47" s="54"/>
      <c r="I47" s="78"/>
      <c r="J47" s="94"/>
      <c r="K47" s="78"/>
    </row>
    <row r="48" spans="1:11" ht="12.75" customHeight="1" x14ac:dyDescent="0.25">
      <c r="A48" s="55"/>
      <c r="B48" s="56"/>
      <c r="C48" s="56"/>
      <c r="D48" s="56"/>
      <c r="E48" s="56"/>
      <c r="F48" s="56"/>
      <c r="G48" s="527" t="s">
        <v>132</v>
      </c>
      <c r="H48" s="528"/>
      <c r="I48" s="83">
        <f>SUM(I17:I47)</f>
        <v>1756285902</v>
      </c>
      <c r="J48" s="83">
        <f>SUM(J17:J47)</f>
        <v>590889576</v>
      </c>
      <c r="K48" s="83">
        <f>SUM(K17:K47)</f>
        <v>1165396326</v>
      </c>
    </row>
    <row r="49" spans="1:11" ht="24.95" customHeight="1" x14ac:dyDescent="0.25">
      <c r="A49" s="56"/>
      <c r="B49" s="56"/>
      <c r="C49" s="56"/>
      <c r="D49" s="56"/>
      <c r="E49" s="56"/>
      <c r="F49" s="56"/>
      <c r="G49" s="56"/>
      <c r="H49" s="56"/>
      <c r="I49" s="176"/>
      <c r="J49" s="178"/>
      <c r="K49" s="178"/>
    </row>
    <row r="50" spans="1:11" ht="24.95" customHeight="1" x14ac:dyDescent="0.25">
      <c r="A50" s="31" t="s">
        <v>58</v>
      </c>
      <c r="B50" s="31" t="s">
        <v>133</v>
      </c>
      <c r="C50" s="31" t="s">
        <v>30</v>
      </c>
      <c r="D50" s="32" t="s">
        <v>59</v>
      </c>
      <c r="E50" s="31" t="s">
        <v>40</v>
      </c>
      <c r="F50" s="31" t="s">
        <v>62</v>
      </c>
      <c r="G50" s="31" t="s">
        <v>37</v>
      </c>
      <c r="H50" s="31" t="s">
        <v>60</v>
      </c>
      <c r="I50" s="31" t="s">
        <v>61</v>
      </c>
      <c r="J50" s="242" t="s">
        <v>99</v>
      </c>
      <c r="K50" s="31" t="s">
        <v>68</v>
      </c>
    </row>
    <row r="51" spans="1:11" x14ac:dyDescent="0.25">
      <c r="A51" s="95">
        <v>1203087000</v>
      </c>
      <c r="B51" s="95">
        <v>610000000</v>
      </c>
      <c r="C51" s="95">
        <v>0</v>
      </c>
      <c r="D51" s="82">
        <f>+A51+B51-C51</f>
        <v>1813087000</v>
      </c>
      <c r="E51" s="82">
        <f>+I48</f>
        <v>1756285902</v>
      </c>
      <c r="F51" s="72">
        <f>+E51/D51</f>
        <v>0.96867160924985951</v>
      </c>
      <c r="G51" s="82">
        <f>+I13</f>
        <v>51774189</v>
      </c>
      <c r="H51" s="82">
        <f>+D51-E51-G51</f>
        <v>5026909</v>
      </c>
      <c r="I51" s="146">
        <f>+J48</f>
        <v>590889576</v>
      </c>
      <c r="J51" s="128">
        <f>+I51/D51</f>
        <v>0.32590249447489283</v>
      </c>
      <c r="K51" s="146">
        <f>+K48</f>
        <v>1165396326</v>
      </c>
    </row>
    <row r="52" spans="1:11" x14ac:dyDescent="0.25">
      <c r="A52" s="74">
        <v>1</v>
      </c>
      <c r="B52" s="74">
        <v>2</v>
      </c>
      <c r="C52" s="74">
        <v>3</v>
      </c>
      <c r="D52" s="74" t="s">
        <v>42</v>
      </c>
      <c r="E52" s="74">
        <v>5</v>
      </c>
      <c r="F52" s="74" t="s">
        <v>69</v>
      </c>
      <c r="G52" s="74">
        <v>7</v>
      </c>
      <c r="H52" s="74" t="s">
        <v>70</v>
      </c>
      <c r="I52" s="74">
        <v>9</v>
      </c>
      <c r="J52" s="243" t="s">
        <v>100</v>
      </c>
      <c r="K52" s="74" t="s">
        <v>101</v>
      </c>
    </row>
    <row r="54" spans="1:11" x14ac:dyDescent="0.25">
      <c r="B54" s="238"/>
      <c r="E54" s="238"/>
      <c r="G54" s="238"/>
    </row>
  </sheetData>
  <mergeCells count="15">
    <mergeCell ref="G48:H48"/>
    <mergeCell ref="E15:H15"/>
    <mergeCell ref="E16:F16"/>
    <mergeCell ref="G16:H16"/>
    <mergeCell ref="E5:H5"/>
    <mergeCell ref="E6:H6"/>
    <mergeCell ref="G13:H13"/>
    <mergeCell ref="A5:A6"/>
    <mergeCell ref="J15:J16"/>
    <mergeCell ref="I15:I16"/>
    <mergeCell ref="A15:A16"/>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39</vt:i4>
      </vt:variant>
    </vt:vector>
  </HeadingPairs>
  <TitlesOfParts>
    <vt:vector size="68" baseType="lpstr">
      <vt:lpstr>CDP</vt:lpstr>
      <vt:lpstr>RP</vt:lpstr>
      <vt:lpstr>0101</vt:lpstr>
      <vt:lpstr>0102</vt:lpstr>
      <vt:lpstr>0103</vt:lpstr>
      <vt:lpstr>0104</vt:lpstr>
      <vt:lpstr>0201</vt:lpstr>
      <vt:lpstr>0202</vt:lpstr>
      <vt:lpstr>0203</vt:lpstr>
      <vt:lpstr>0204</vt:lpstr>
      <vt:lpstr>0205</vt:lpstr>
      <vt:lpstr>0206</vt:lpstr>
      <vt:lpstr>020801</vt:lpstr>
      <vt:lpstr>020802</vt:lpstr>
      <vt:lpstr>020803</vt:lpstr>
      <vt:lpstr>020804</vt:lpstr>
      <vt:lpstr>0209</vt:lpstr>
      <vt:lpstr>0210</vt:lpstr>
      <vt:lpstr>0211</vt:lpstr>
      <vt:lpstr>0212</vt:lpstr>
      <vt:lpstr>0301</vt:lpstr>
      <vt:lpstr>0302</vt:lpstr>
      <vt:lpstr>NOMINA</vt:lpstr>
      <vt:lpstr>HONOR</vt:lpstr>
      <vt:lpstr>R.S.T.</vt:lpstr>
      <vt:lpstr>APORTES</vt:lpstr>
      <vt:lpstr>PASIVOS</vt:lpstr>
      <vt:lpstr>TOTAL</vt:lpstr>
      <vt:lpstr>SUSPENSION</vt:lpstr>
      <vt:lpstr>'0101'!Área_de_impresión</vt:lpstr>
      <vt:lpstr>'0102'!Área_de_impresión</vt:lpstr>
      <vt:lpstr>'0103'!Área_de_impresión</vt:lpstr>
      <vt:lpstr>'0104'!Área_de_impresión</vt:lpstr>
      <vt:lpstr>'0201'!Área_de_impresión</vt:lpstr>
      <vt:lpstr>'0203'!Área_de_impresión</vt:lpstr>
      <vt:lpstr>'0204'!Área_de_impresión</vt:lpstr>
      <vt:lpstr>'0205'!Área_de_impresión</vt:lpstr>
      <vt:lpstr>'0206'!Área_de_impresión</vt:lpstr>
      <vt:lpstr>'020801'!Área_de_impresión</vt:lpstr>
      <vt:lpstr>'020802'!Área_de_impresión</vt:lpstr>
      <vt:lpstr>'020803'!Área_de_impresión</vt:lpstr>
      <vt:lpstr>'020804'!Área_de_impresión</vt:lpstr>
      <vt:lpstr>'0209'!Área_de_impresión</vt:lpstr>
      <vt:lpstr>'0210'!Área_de_impresión</vt:lpstr>
      <vt:lpstr>'0211'!Área_de_impresión</vt:lpstr>
      <vt:lpstr>'0212'!Área_de_impresión</vt:lpstr>
      <vt:lpstr>'0301'!Área_de_impresión</vt:lpstr>
      <vt:lpstr>'0302'!Área_de_impresión</vt:lpstr>
      <vt:lpstr>APORTES!Área_de_impresión</vt:lpstr>
      <vt:lpstr>CDP!Área_de_impresión</vt:lpstr>
      <vt:lpstr>HONOR!Área_de_impresión</vt:lpstr>
      <vt:lpstr>NOMINA!Área_de_impresión</vt:lpstr>
      <vt:lpstr>R.S.T.!Área_de_impresión</vt:lpstr>
      <vt:lpstr>RP!Área_de_impresión</vt:lpstr>
      <vt:lpstr>SUSPENSION!Área_de_impresión</vt:lpstr>
      <vt:lpstr>TOTAL!Área_de_impresión</vt:lpstr>
      <vt:lpstr>'0104'!Títulos_a_imprimir</vt:lpstr>
      <vt:lpstr>'0203'!Títulos_a_imprimir</vt:lpstr>
      <vt:lpstr>'0204'!Títulos_a_imprimir</vt:lpstr>
      <vt:lpstr>'0205'!Títulos_a_imprimir</vt:lpstr>
      <vt:lpstr>'0206'!Títulos_a_imprimir</vt:lpstr>
      <vt:lpstr>'020801'!Títulos_a_imprimir</vt:lpstr>
      <vt:lpstr>'020802'!Títulos_a_imprimir</vt:lpstr>
      <vt:lpstr>'020804'!Títulos_a_imprimir</vt:lpstr>
      <vt:lpstr>'0210'!Títulos_a_imprimir</vt:lpstr>
      <vt:lpstr>'0301'!Títulos_a_imprimir</vt:lpstr>
      <vt:lpstr>APORTES!Títulos_a_imprimir</vt:lpstr>
      <vt:lpstr>HONOR!Títulos_a_imprimir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Enrique Adolfo Gomez Salazar</cp:lastModifiedBy>
  <cp:lastPrinted>2017-11-03T20:20:42Z</cp:lastPrinted>
  <dcterms:created xsi:type="dcterms:W3CDTF">2002-01-22T18:31:49Z</dcterms:created>
  <dcterms:modified xsi:type="dcterms:W3CDTF">2017-12-01T19:59:49Z</dcterms:modified>
</cp:coreProperties>
</file>