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82"/>
  <fileSharing readOnlyRecommended="1" userName="Aspose"/>
  <workbookPr codeName="ThisWorkbook"/>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225" tabRatio="717" activeTab="7"/>
  </bookViews>
  <sheets>
    <sheet name="7787" sheetId="251" r:id="rId3"/>
    <sheet name="7795" sheetId="261" r:id="rId4"/>
    <sheet name="7793" sheetId="262" r:id="rId5"/>
    <sheet name="7803" sheetId="263" r:id="rId6"/>
    <sheet name="7799" sheetId="264" r:id="rId7"/>
    <sheet name="7800" sheetId="265" r:id="rId8"/>
    <sheet name="7801" sheetId="266" r:id="rId9"/>
    <sheet name="TOTAL" sheetId="252" r:id="rId10"/>
    <sheet name="Hoja1" sheetId="267" r:id="rId11"/>
  </sheets>
  <definedNames>
    <definedName name="_xlnm.Print_Area" localSheetId="0">'7787'!$A$1:$K$381</definedName>
    <definedName name="_xlnm.Print_Area" localSheetId="7">TOTAL!$C$1:$O$15</definedName>
    <definedName name="_xlnm.Print_Titles" localSheetId="0">'7787'!$10:$11</definedName>
    <definedName name="_xlnm.Print_Titles" localSheetId="7">TOTAL!$1:$3</definedName>
  </definedNames>
  <calcPr calcId="191029"/>
</workbook>
</file>

<file path=xl/calcChain.xml><?xml version="1.0" encoding="utf-8"?>
<calcChain xmlns="http://schemas.openxmlformats.org/spreadsheetml/2006/main">
  <c r="K380" i="251" l="1"/>
</calcChain>
</file>

<file path=xl/sharedStrings.xml><?xml version="1.0" encoding="utf-8"?>
<sst xmlns="http://schemas.openxmlformats.org/spreadsheetml/2006/main" count="7019" uniqueCount="4018">
  <si>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</si>
  <si>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</si>
  <si>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</si>
  <si>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</si>
  <si>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</si>
  <si>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</si>
  <si>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</si>
  <si>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</si>
  <si>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</si>
  <si>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</si>
  <si>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</si>
  <si>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</si>
  <si>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</si>
  <si>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</si>
  <si>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</si>
  <si>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</si>
  <si>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</si>
  <si>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</si>
  <si>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</si>
  <si>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</si>
  <si>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</si>
  <si>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</si>
  <si>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</si>
  <si>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</si>
  <si>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</si>
  <si>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</si>
  <si>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</si>
  <si>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</si>
  <si>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</si>
  <si>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</si>
  <si>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</si>
  <si>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</si>
  <si>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</si>
  <si>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</si>
  <si>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</si>
  <si>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</si>
  <si>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</si>
  <si>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</si>
  <si>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</si>
  <si>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</si>
  <si>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</si>
  <si>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</si>
  <si>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</si>
  <si>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</si>
  <si>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MARIA FERNANDA TORRES AREVALO</t>
  </si>
  <si>
    <t>ANDREA  PELAEZ OVALLE</t>
  </si>
  <si>
    <t>JOSE LUIS GARCIA ROJAS</t>
  </si>
  <si>
    <t>JENNY PAOLA MORALES DUARTE</t>
  </si>
  <si>
    <t>DAVID  CASTAÑO CHIGUASUQUE</t>
  </si>
  <si>
    <t>LAURA VIVIANA MEDRANO RODRIGUEZ</t>
  </si>
  <si>
    <t>VALERIA ALEJANDRA POVEDA GUTIERREZ</t>
  </si>
  <si>
    <t>FABIO HUMBERTO MONROY GARCIA</t>
  </si>
  <si>
    <t>LUIS EDUARDO GOMEZ NARVAEZ</t>
  </si>
  <si>
    <t>ANA CAROLINA ALZAMORA BUSTAMANTE</t>
  </si>
  <si>
    <t>ANGELICA MARIA BALLESTEROS SARAY</t>
  </si>
  <si>
    <t>ALEYDA  AYALA CHAVARRIA</t>
  </si>
  <si>
    <t>YENY  YAÑEZ BOLIVAR</t>
  </si>
  <si>
    <t>MAITE DANIELA DUQUE ARCINIEGAS</t>
  </si>
  <si>
    <t>JESUS ALBERTO VALENCIA OCAMPO</t>
  </si>
  <si>
    <t>NELSON ANDRES SASTOQUE GONZALEZ</t>
  </si>
  <si>
    <t>HECTOR AUGUSTO CARREÑO</t>
  </si>
  <si>
    <t>VALENTINA  ZULUAGA TAMAYO</t>
  </si>
  <si>
    <t>CLAUDIA MARCELA AYALA CONTRERAS</t>
  </si>
  <si>
    <t>DAYAN VALENTINA BAUTISTA GRIJALBA</t>
  </si>
  <si>
    <t>DIANA MARCELA BARBOSA NIÑO</t>
  </si>
  <si>
    <t>OMAR ARTURO CALDERON ZAQUE</t>
  </si>
  <si>
    <t>NELSON OSWALDO CARDENAS FERREIRA</t>
  </si>
  <si>
    <t>JUAN CAMILO ARIZA VERGARA</t>
  </si>
  <si>
    <t>VALENTINA  SPERBER MANTILLA</t>
  </si>
  <si>
    <t>MONICA VIVIANA SANDOVAL RODRIGUEZ</t>
  </si>
  <si>
    <t>GERMAN AUGUSTO GIRALDO AGUDELO</t>
  </si>
  <si>
    <t>SANDRA MILENA GOMEZ TOVAR</t>
  </si>
  <si>
    <t>GLORIA TATIANA DUQUE RAMIREZ</t>
  </si>
  <si>
    <t>PAULA ANDREA GRANADA RODRIGUEZ</t>
  </si>
  <si>
    <t>CLAUDIA VIVIANA VILLALOBOS FAGUA</t>
  </si>
  <si>
    <t>DAVID ALEJANDRO GUERRERO GUEVARA</t>
  </si>
  <si>
    <t>MAURICIO ANTONIO PAVA LINARES</t>
  </si>
  <si>
    <t>JAIME ALEXANDER HURTADO SOTO</t>
  </si>
  <si>
    <t>JONATHAN WILMER LANDINEZ ROJAS</t>
  </si>
  <si>
    <t>DIEGO ENRIQUE RODRIGUEZ DELGADO</t>
  </si>
  <si>
    <t>SECRETARIA DISTRITAL DE GOBIERNO</t>
  </si>
  <si>
    <t>RENAN  ROJAS ESGUERRA</t>
  </si>
  <si>
    <t>MANUEL JOSE MEDINA MENDOZA</t>
  </si>
  <si>
    <t>NASHLY  PEINADO MALAGON</t>
  </si>
  <si>
    <t>DIEGO EDINSON ROLDAN SOLANO</t>
  </si>
  <si>
    <t>JENNIFER  TORRES SANCHEZ</t>
  </si>
  <si>
    <t>NADIA PIEDAD IBARGUEN MOSQUERA</t>
  </si>
  <si>
    <t>EDGAR JAIME MARTINEZ RODRIGUEZ</t>
  </si>
  <si>
    <t>YULIANA  MOLANO FRANCO</t>
  </si>
  <si>
    <t>ALFONSO  MORENO BUITRAGO</t>
  </si>
  <si>
    <t>LAURA INES VELEZ VASQUEZ</t>
  </si>
  <si>
    <t>NATHALIA ANDREA VASQUEZ ORJUELA</t>
  </si>
  <si>
    <t>GEORGILIN DAYANA ESTEFANIA TELLEZ PEÑA</t>
  </si>
  <si>
    <t>ALFONSO ANTONIO RODRIGUEZ GARZON</t>
  </si>
  <si>
    <t>DANIEL FELIPE MORA ROJAS</t>
  </si>
  <si>
    <t>NATALIA ANDREA RINCON PARDO</t>
  </si>
  <si>
    <t>OSCAR HUMBERTO URUEÑA MEDINA</t>
  </si>
  <si>
    <t>LUZ AMANDA GUZMAN MOJICA</t>
  </si>
  <si>
    <t>YANETH  ARANGO ORTIZ</t>
  </si>
  <si>
    <t>GUSTAVO  GARCIA FIGUEROA</t>
  </si>
  <si>
    <t>DIANA PAOLA CAMACHO ZAMBRANO</t>
  </si>
  <si>
    <t>NELCY ALEYDA MESA ALBARRACIN</t>
  </si>
  <si>
    <t>MARIA CAMILA HERNANDEZ MORA</t>
  </si>
  <si>
    <t>ADRIANA  CASTELBLANCO DIAZ</t>
  </si>
  <si>
    <t>SANDY LORENA CALDERON MARTINEZ</t>
  </si>
  <si>
    <t>RAFAEL RICARDO VILLA ROJAS</t>
  </si>
  <si>
    <t>CLAUDIA ZULIMA DAVILA GOMEZ</t>
  </si>
  <si>
    <t>PAULA ANDREA BELTRAN RODRIGUEZ</t>
  </si>
  <si>
    <t>YISMAR  SALAS ARAUJO</t>
  </si>
  <si>
    <t>ANGELICA MARIA ANGARITA SERRANO</t>
  </si>
  <si>
    <t>DIANA CAROLINA OROZCO PEREZ</t>
  </si>
  <si>
    <t>JUAN CAMILO PEÑA LIZARAZO</t>
  </si>
  <si>
    <t>CRISTHIAM MAURICIO LOSADA MONCADA</t>
  </si>
  <si>
    <t>BLANCA YANETH URIBE NEUTA</t>
  </si>
  <si>
    <t>VIVIANA CAROLINA MONTAÑA CARVAJAL</t>
  </si>
  <si>
    <t>ELIANA SOLEY GARZON SANTOS</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</si>
  <si>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</si>
  <si>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</si>
  <si>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</si>
  <si>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EDITH YANIRE BAUTISTA RODRIGUEZ</t>
  </si>
  <si>
    <t>YULIANA MARIA MAHECHA MUR</t>
  </si>
  <si>
    <t>JESUS DAVID ANGARITA VARGAS</t>
  </si>
  <si>
    <t>SANDRA LILIANA OSORIO BARRETO</t>
  </si>
  <si>
    <t>MERCEDES KARINA ECHEVERRY GARCIA</t>
  </si>
  <si>
    <t>DIANA CAROLINA SARMIENTO BARRERA</t>
  </si>
  <si>
    <t>NANCY JEANET CARDENAS LEON</t>
  </si>
  <si>
    <t>JORGE LUIS ACEVEDO AYALA</t>
  </si>
  <si>
    <t>ANGIE PAOLA BARREIRO ACERO</t>
  </si>
  <si>
    <t>JULIO ROBERTO ARBOLEDA SAMPER</t>
  </si>
  <si>
    <t>JENNIFER ADRIANA ALVARADO MURCIA</t>
  </si>
  <si>
    <t>NUBIA  GALINDO CRUZ</t>
  </si>
  <si>
    <t>NANCY PAOLA BOLIVAR CUCHIA</t>
  </si>
  <si>
    <t>PAOLA ALEXANDRA VIVAS VARGAS</t>
  </si>
  <si>
    <t>VANESSA  RUIZ RUIZ</t>
  </si>
  <si>
    <t>ROBETH YESID TELLEZ RUIZ</t>
  </si>
  <si>
    <t>JAIRO ANDRES JIMENEZ SIERRA</t>
  </si>
  <si>
    <t>NORMA CONSTANZA OLAYA RODRIGUEZ</t>
  </si>
  <si>
    <t>YULI KATHERIN LOPEZ PEÑA</t>
  </si>
  <si>
    <t>SINDY YOHANA CARDENAS GARZON</t>
  </si>
  <si>
    <t>HECTOR JULIO SICHACA CASTELBLANCO</t>
  </si>
  <si>
    <t>MONICA ALEXANDRA TORRES NEIRA</t>
  </si>
  <si>
    <t>JENNY ANDREA ALONSO SANCHEZ</t>
  </si>
  <si>
    <t>ANA YANETH GONZALEZ RAMIREZ</t>
  </si>
  <si>
    <t>JOHANNA  VARGAS GOMEZ</t>
  </si>
  <si>
    <t>LEIDY JANNETH NAVARRO GUALDRON</t>
  </si>
  <si>
    <t>LEIDY JULIANA ALONSO CASTILLO</t>
  </si>
  <si>
    <t>JAVIER  BARBOSA GUERRERO</t>
  </si>
  <si>
    <t>GINA MARCELA RUBIO RODRIGUEZ</t>
  </si>
  <si>
    <t>NELSON JAVIER MUÑOZ JIMENEZ</t>
  </si>
  <si>
    <t>JESSICA PAOLA VARGAS CASTRO</t>
  </si>
  <si>
    <t>MARTHA MIREYA SANCHEZ FIGUEROA</t>
  </si>
  <si>
    <t>JAVIER ANTONIO CASTRO PINEDA</t>
  </si>
  <si>
    <t>NATALI  MOSSOS REYES</t>
  </si>
  <si>
    <t>ADRIANA  AVILA TRIVIÑO</t>
  </si>
  <si>
    <t>JAVIER FRANCISCO URREA CUELLAR</t>
  </si>
  <si>
    <t>DARIANA ALEJANDRA MONCADA LOPEZ</t>
  </si>
  <si>
    <t>OMAR  CORTES PEREZ</t>
  </si>
  <si>
    <t>CAROLINA  FIERRO VALBUENA</t>
  </si>
  <si>
    <t>ZULMA GINETH RAMOS RAMIREZ</t>
  </si>
  <si>
    <t>MARY LUZ RODRIGUEZ CALDERON</t>
  </si>
  <si>
    <t>FRANCISCO JAVIER PIZARRO CASTRO</t>
  </si>
  <si>
    <t>YENIFFER PAOLA MATTA REYES</t>
  </si>
  <si>
    <t>RAFAEL ANDRES GUARIN REINA</t>
  </si>
  <si>
    <t>EDUARDO ANTONIO RINCON LOZANO</t>
  </si>
  <si>
    <t>DANGHELY ALEJANDRA ALVAREZ ALARCON</t>
  </si>
  <si>
    <t>CLAUDIA MARCELA RODRIGUEZ CARRILLO</t>
  </si>
  <si>
    <t>LUZ YADIRA RIVERA CARO</t>
  </si>
  <si>
    <t>REYNALDO  DUSSAN CALDERON</t>
  </si>
  <si>
    <t>CAMILO  TRUJILLO SAAVEDRA</t>
  </si>
  <si>
    <t>JOSE JAIRO JARAMILLO GIRALDO</t>
  </si>
  <si>
    <t>ADRIANA PAOLA MONTILLA NIÑO</t>
  </si>
  <si>
    <t>ANDREA DEL ROSARIO RUIZ GUERRERO</t>
  </si>
  <si>
    <t>JESSICA ANDREA JIMENEZ POLANIA</t>
  </si>
  <si>
    <t>JORGE EDUARDO GARCIA PERALTA</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</si>
  <si>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</si>
  <si>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EDISON ALFONSO DIAZ BARAJAS</t>
  </si>
  <si>
    <t>ANA MARGARITA VELASQUEZ ORJUELA</t>
  </si>
  <si>
    <t>CLAUDIA MARIA VIZCAINO TALERO</t>
  </si>
  <si>
    <t>DELFA PAULINA MAJIN JIMENEZ</t>
  </si>
  <si>
    <t>GUAYRA PUKA ARIAS FLORIAN</t>
  </si>
  <si>
    <t>IVONNE JASBLEIDY MARTINEZ GONZALEZ</t>
  </si>
  <si>
    <t>GABRIELA  MORGAN CORRALES</t>
  </si>
  <si>
    <t>CLAUDIA MARCELA MOZO GUERRERO</t>
  </si>
  <si>
    <t>PAOLA ANDREA CALDAS VELANDIA</t>
  </si>
  <si>
    <t>JENNY CAROLINA HERRERA CAGUA</t>
  </si>
  <si>
    <t>JOSE MARIA ROJAS FIGUEREDO</t>
  </si>
  <si>
    <t>MARIANA  GARCES LOPEZ</t>
  </si>
  <si>
    <t>VIVIANA LORENA MARTINEZ FONSECA</t>
  </si>
  <si>
    <t>JORGE IVAN MORENO BELTRAN</t>
  </si>
  <si>
    <t>ANDREA MILENA ARIAS PRIETO</t>
  </si>
  <si>
    <t>JHORMAN JAVICK JIMENEZ MEZA</t>
  </si>
  <si>
    <t>DIANA MARITZA QUITIAN QUINTERO</t>
  </si>
  <si>
    <t>CARMEN VICTORIA ORTEGA BECERRA</t>
  </si>
  <si>
    <t>LILIANA MILENA HERNANDEZ ROJAS</t>
  </si>
  <si>
    <t>LILIANA  AGUDELO PEREZ</t>
  </si>
  <si>
    <t>ANDREA MARCELA RODRIGUEZ ARANGO</t>
  </si>
  <si>
    <t>ANDRES FERNANDO VIVEROS GUEVARA</t>
  </si>
  <si>
    <t>ANDRES FELIPE MENDEZ ARENAS</t>
  </si>
  <si>
    <t>JAIME ALEJANDRO CARDENAS SENA</t>
  </si>
  <si>
    <t>MARIA JOSE BARRERA RANGEL</t>
  </si>
  <si>
    <t>DIEGO FELIPE BAQUERO FRANCO</t>
  </si>
  <si>
    <t>ZAIDA VIANNEY RODRIGUEZ RODRIGUEZ</t>
  </si>
  <si>
    <t>LAURA ANDREA SOLANO ARANGUREN</t>
  </si>
  <si>
    <t>MONICA ROCIO ARANDA GUERRERO</t>
  </si>
  <si>
    <t>CARLOS ANDRES RESTREPO BARRIOS</t>
  </si>
  <si>
    <t>LAURA CAMILA GALVEZ TRUJILLO</t>
  </si>
  <si>
    <t>DUVAN NORBERTO CARVAJAL RESTREPO</t>
  </si>
  <si>
    <t>KAREN VIVIANA ROMERO PALOMINO</t>
  </si>
  <si>
    <t>ALEX FERNNEY GARCIA RUBIANO</t>
  </si>
  <si>
    <t>LAURA VIVIANA ROLDAN GALINDO</t>
  </si>
  <si>
    <t>YULIE ANDREA SANTANA</t>
  </si>
  <si>
    <t>JOHANNA PATRICIA PLAZAS AVILA</t>
  </si>
  <si>
    <t>SANDRA MARY PEREIRA LIZCANO</t>
  </si>
  <si>
    <t>ANGELICA  MARIN AGUDELO</t>
  </si>
  <si>
    <t>ANA MARIA ORTIZ VEGA</t>
  </si>
  <si>
    <t>INGRID STEFANIE SIERRA NIETO</t>
  </si>
  <si>
    <t>LUIS ALFONSO MENDOZA PRIETO</t>
  </si>
  <si>
    <t>YALESI LILIANA CORTES HUESO</t>
  </si>
  <si>
    <t>MARCELA  TOVAR THOMAS</t>
  </si>
  <si>
    <t>MARIA FERNANDA PARADA RUEDA</t>
  </si>
  <si>
    <t>CARLOS ALBERTO DUEÑAS MARTINEZ</t>
  </si>
  <si>
    <t>MARIA PAULA MARTIN CUELLAR</t>
  </si>
  <si>
    <t>HERNAN RAMIRO AMAYA GUEVARA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</si>
  <si>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</si>
  <si>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YURY LILIANA NIÑO MONTOYA</t>
  </si>
  <si>
    <t>ANGELICA YINED GUERRERO BOHORQUEZ</t>
  </si>
  <si>
    <t>JOSE GABINO ALFONSO PERDOMO</t>
  </si>
  <si>
    <t>SANDRA PATRICIA PAEZ ACEVEDO</t>
  </si>
  <si>
    <t>JOHN FREDY ALVAREZ CAMARGO</t>
  </si>
  <si>
    <t>ROBINSON MAURICIO GIRALDO GIRALDO</t>
  </si>
  <si>
    <t>ROBERTO JESUS PALACIOS ANGULO</t>
  </si>
  <si>
    <t>SERGIO HERNANDO MERCHAN CORREA</t>
  </si>
  <si>
    <t>GERARDO ENRIQUE REYES GUARNIZO</t>
  </si>
  <si>
    <t>FRANCISCO  ARGUELLO ZUTTA</t>
  </si>
  <si>
    <t>ALONSO RAFAEL OCAMPO ARRIETA</t>
  </si>
  <si>
    <t>LUDHIANA  JARAMILLO CASTELBLANCO</t>
  </si>
  <si>
    <t>GISELLE CONSUELO CAMARGO RONCANCIO</t>
  </si>
  <si>
    <t>CRISTIAN CAMILO LEON RAMIREZ</t>
  </si>
  <si>
    <t>DIEGO ALEJANDRO MALDONADO ROLDAN</t>
  </si>
  <si>
    <t>DANIELA XIMENA PALACIO LOPEZ</t>
  </si>
  <si>
    <t>JUAN CARLOS RODRIGUEZ GUZMAN</t>
  </si>
  <si>
    <t>JENNY ANDREA LOPEZ GARZON</t>
  </si>
  <si>
    <t>DAVID ESTEBAN BAQUERO PARRA</t>
  </si>
  <si>
    <t>ANDREA CAROLINA PEREIRA CORRALES</t>
  </si>
  <si>
    <t>RAPHAEL RICARDO MENDEZ VARGAS</t>
  </si>
  <si>
    <t>CESAR AUGUSTO POSSO PORRAS</t>
  </si>
  <si>
    <t>YULY KATHERINE ALVARADO CAMACHO</t>
  </si>
  <si>
    <t>LORENA  BUSTOS MOLANO</t>
  </si>
  <si>
    <t>EVELY KATHERINE AFANADOR REY</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</si>
  <si>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</si>
  <si>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</si>
  <si>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</si>
  <si>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</si>
  <si>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</si>
  <si>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</si>
  <si>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</si>
  <si>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</si>
  <si>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CARLOS ALBERTO PAPAMIJA DIAGO</t>
  </si>
  <si>
    <t>DIANA CATALINA SALAMANCA GOMEZ</t>
  </si>
  <si>
    <t>LUIS YOBANY ROBLES RUBIANO</t>
  </si>
  <si>
    <t>LILIANA PATRICIA MARTINEZ TORRES</t>
  </si>
  <si>
    <t>LUIS HERNANDO BEJARANO</t>
  </si>
  <si>
    <t>LUISA FERNANDA GARAVITO APARICIO</t>
  </si>
  <si>
    <t>CARMEN ROCIO ACEVEDO BERMUDEZ</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</si>
  <si>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</si>
  <si>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</si>
  <si>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</si>
  <si>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</si>
  <si>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</si>
  <si>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</si>
  <si>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</si>
  <si>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</si>
  <si>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</si>
  <si>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</si>
  <si>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</si>
  <si>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</si>
  <si>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</si>
  <si>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SANYA FRANCINA RIAÑO TORRES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</si>
  <si>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</si>
  <si>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</si>
  <si>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</si>
  <si>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</si>
  <si>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</si>
  <si>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</si>
  <si>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</si>
  <si>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</si>
  <si>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</si>
  <si>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</si>
  <si>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</si>
  <si>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</si>
  <si>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</si>
  <si>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</si>
  <si>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</si>
  <si>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</si>
  <si>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</si>
  <si>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INGRID YULIANA PEREZ CELIS</t>
  </si>
  <si>
    <t>CLEMENCIA DEL PILAR GONZALEZ MARTINEZ</t>
  </si>
  <si>
    <t>ALEXANDER  RINCON ENDES</t>
  </si>
  <si>
    <t>LINA JOHANA FERNANDEZ BERMUDEZ</t>
  </si>
  <si>
    <t>FABIANA CONSTANZA HERNANDEZ AHUMADA</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</si>
  <si>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</si>
  <si>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</si>
  <si>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</si>
  <si>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</si>
  <si>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</si>
  <si>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</si>
  <si>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</si>
  <si>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ALBA LUCIA RENDON MADERO</t>
  </si>
  <si>
    <t>DIANA GISELLE OSORIO ROZO</t>
  </si>
  <si>
    <t>CESAR OSWALDO MENDOZA LEON</t>
  </si>
  <si>
    <t>JUAN CARLOS GAITAN MEJIA</t>
  </si>
  <si>
    <t>MARIA FERNANDA CASTILLO OSPINA</t>
  </si>
  <si>
    <t>CARLOS ANDRES SAENZ RIVEROS</t>
  </si>
  <si>
    <t>CARLOS ENRIQUE BONILLA MUÑOZ</t>
  </si>
  <si>
    <t>GUADALUPE  ERRAZURIZ</t>
  </si>
  <si>
    <t>CLAUDIA PATRICIA GUZMAN ROA</t>
  </si>
  <si>
    <t>MILENA ANTONIA DUARTE PRIETO</t>
  </si>
  <si>
    <t>JORGE ANDRES FLOREZ SANCHEZ</t>
  </si>
  <si>
    <t>LUZ STELLA AMAYA NAVARRO</t>
  </si>
  <si>
    <t>EDWIN FABIAN RODRIGUEZ APARICIO</t>
  </si>
  <si>
    <t>CATERIN ALEJANDRA URQUIJO FONSECA</t>
  </si>
  <si>
    <t>HECTOR MANUEL PAIBA ARDILA</t>
  </si>
  <si>
    <t>DIANA PAOLA CHACON POVEDA</t>
  </si>
  <si>
    <t>DIEGO FERNANDO FIGUEROA GUERRA</t>
  </si>
  <si>
    <t>LINA ROSA DIAZ BAYONA</t>
  </si>
  <si>
    <t>CLAUDIA MARCELA PEÑA CASTRO</t>
  </si>
  <si>
    <t>CAROLINA  ANAYA FLOREZ</t>
  </si>
  <si>
    <t>JEIMER  GUARNIZO GOMEZ</t>
  </si>
  <si>
    <t>LUIS ERNESTO MORALES AMARIS</t>
  </si>
  <si>
    <t>ANA MARIA RODRIGUEZ COMAS</t>
  </si>
  <si>
    <t>ANA PAOLA AMAYA RABE</t>
  </si>
  <si>
    <t>LINA PAOLA HERNANDEZ ACOSTA</t>
  </si>
  <si>
    <t>JIMMY ALEJANDRO MONTES AMORTEGUI</t>
  </si>
  <si>
    <t>ANA MARIA RUBIO SANCHEZ</t>
  </si>
  <si>
    <t>DAMIAN ESTEBAN LANDINEZ CAÑON</t>
  </si>
  <si>
    <t>ROSALBA  SAENZ GOMEZ</t>
  </si>
  <si>
    <t>NANCY MAGALY GUERRERO GUTIERREZ</t>
  </si>
  <si>
    <t>PEDRO ANTONIO DAZA VARGAS</t>
  </si>
  <si>
    <t>IRENE JOHANNA YATE FORERO</t>
  </si>
  <si>
    <t>DELIA MARGARITA NAVAS SOLANO</t>
  </si>
  <si>
    <t>LEIVER ALEXIS MORENO GUZMAN</t>
  </si>
  <si>
    <t>KAROL JHOANA AYALA FORERO</t>
  </si>
  <si>
    <t>CESAR AUGUSTO QUINTERO SANABRIA</t>
  </si>
  <si>
    <t>JORGE LINO MACHETA TELLEZ</t>
  </si>
  <si>
    <t>LUIS JOAQUIN PIMIENTO CASTRO</t>
  </si>
  <si>
    <t>CARLOS ALFONSO PARRA MALAVER</t>
  </si>
  <si>
    <t>MARIA KARINA GUERRERO CABRERA</t>
  </si>
  <si>
    <t>LAURA ANDREA DAZA OCAMPO</t>
  </si>
  <si>
    <t>MAICOL ANDRES QUIROGA BARRANTES</t>
  </si>
  <si>
    <t>ADRIANA PAOLA RODRIGUEZ SANDOVAL</t>
  </si>
  <si>
    <t>JAVIER DARIO TUBERQUIA MARTINEZ</t>
  </si>
  <si>
    <t>DIEGO MAURICIO HILARION NIÑO</t>
  </si>
  <si>
    <t>HERNAN GERARDO RAMIREZ VILLAMIL</t>
  </si>
  <si>
    <t>MARIA FERNANDA DIAZ GONZALEZ</t>
  </si>
  <si>
    <t>SANDRA MILENA ALVAREZ ZAMBRANO</t>
  </si>
  <si>
    <t>LIZETH PAOLA TORRES REYES</t>
  </si>
  <si>
    <t>JENNY PATRICIA MUÑOZ ARANGUREN</t>
  </si>
  <si>
    <t>JENNY LIZETH SANCHEZ MORENO</t>
  </si>
  <si>
    <t>PABLO CAMILO CRUZ BAQUERO</t>
  </si>
  <si>
    <t>PAOLA ANDREA CASTAÑEDA PAEZ</t>
  </si>
  <si>
    <t>ISABEL  MONTENEGRO JUNCO</t>
  </si>
  <si>
    <t>TERESA CRISTINA MARGARITA ALBANO TORRES</t>
  </si>
  <si>
    <t>FELIPE  GONZALEZ MORALES</t>
  </si>
  <si>
    <t>YOLIMA ELIZABETH LOPEZ FORERO</t>
  </si>
  <si>
    <t>ANGELA LILIANA GALVEZ MORENO</t>
  </si>
  <si>
    <t>ADRIANA CONSUELO CARDENAS ALGARRA</t>
  </si>
  <si>
    <t>HERNAN DAVID CERVERA PABON</t>
  </si>
  <si>
    <t>481</t>
  </si>
  <si>
    <t>ERIKA MARIA MARTINEZ LEON</t>
  </si>
  <si>
    <t>DEIBY LEONARDO URIBE ROLON</t>
  </si>
  <si>
    <t>WENDY LORENA RAMIREZ ESPITIA</t>
  </si>
  <si>
    <t>SANDRO WILLIAM GONZALEZ</t>
  </si>
  <si>
    <t>CONJUNTO RESIDENCIAL TORRES DE VALENCIA - PROPIEDAD HORIZONTAL</t>
  </si>
  <si>
    <t>DAVID ANDRES JIMENEZ</t>
  </si>
  <si>
    <t>DIANA MARCELA RODRIGUEZ RAMIREZ</t>
  </si>
  <si>
    <t>CLAUDIO ALEJANDRO RODRIGUEZ CASTAÑEDA</t>
  </si>
  <si>
    <t>CRUZ ROJA COLOMBIANA SECCIONAL CUNDINAMA RCA Y BOGOTA D.C.</t>
  </si>
  <si>
    <t>NELCY  CARDENAS MORA</t>
  </si>
  <si>
    <t>LAURA CAMILA PACHON PINZON</t>
  </si>
  <si>
    <t>129</t>
  </si>
  <si>
    <t>160</t>
  </si>
  <si>
    <t>293</t>
  </si>
  <si>
    <t>326</t>
  </si>
  <si>
    <t>PRESTAR SERVICIOS PROFESIONALES PARA REALIZAR LA GESTIÓN TÉCNICA PARA LAFORMULACIÓN E IMPLEMENTACIÓN DE LAS POLÍTICAS PÚBLICAS ÉTNICAS</t>
  </si>
  <si>
    <t>JHONATAN  PARDO NIÑO</t>
  </si>
  <si>
    <t>MARIA CAMILA PACHECO BLEL</t>
  </si>
  <si>
    <t>Prestar los servicios profesionales para gestionar los asuntosrelacionados con el Congreso de la Republica en especial los trámites deproyectos de ley y/o actos legislativos de interés de la AdministraciónDistrital de conformidad con la normatividad vigente y los lineamientosque sobre esta materia estén reglamentados en la Secretaría Distrital deGobierno</t>
  </si>
  <si>
    <t>MARIA VICTORIA BUITRAGO CEPEDA</t>
  </si>
  <si>
    <t>YESENIA  PATIÑO FIGUEROA</t>
  </si>
  <si>
    <t>MARIA ANGELICA GARZON FIERRO</t>
  </si>
  <si>
    <t>JAVIER ALBERTO RUGELES RODRIGUEZ</t>
  </si>
  <si>
    <t>DANIEL ANDRES HERNANDEZ NARANJO</t>
  </si>
  <si>
    <t>JEANET  BARBOSA VERANO</t>
  </si>
  <si>
    <t>ERIKA  HUARTOS CASTAÑEDA</t>
  </si>
  <si>
    <t>ADRIANA MARCELA SANCHEZ PARDO</t>
  </si>
  <si>
    <t>JULIETH ALEXANDRA SARMIENTO ARIAS</t>
  </si>
  <si>
    <t>KATHERINE ANDREA HERNANDEZ BOHORQUEZ</t>
  </si>
  <si>
    <t>FRANCISCO JAVIER DIAZ CANASTEROS</t>
  </si>
  <si>
    <t>JENNY ALEXANDRA CAMARGO RUBIO</t>
  </si>
  <si>
    <t>JHONATAN DAVID DIAZ JAIME</t>
  </si>
  <si>
    <t>YULI YERALDIN MURILLO COBA</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</si>
  <si>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</si>
  <si>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PRESTAR SERVICIOS PROFESIONALES EN LA SUBDIRECCIÓN DE ASUNTOS ÉTNICOSPARA ATENDER A LA CIUDADANÍA QUE ACUDA A LOS ESPACIOS DE ATENCIÓNDIFERENCIADA Y REALIZAR EL ACOMPAÑAMIENTO A PROCESOS COMUNITARIOS YORGANIZACIONALES</t>
  </si>
  <si>
    <t>328</t>
  </si>
  <si>
    <t>ALVARO AUGUSTO O'MEARA SARMIENTO</t>
  </si>
  <si>
    <t>MARCIA LORENA CABRERA ANTIA</t>
  </si>
  <si>
    <t>308</t>
  </si>
  <si>
    <t>120</t>
  </si>
  <si>
    <t>HECTOR WILMAR OLARTE CANCINO</t>
  </si>
  <si>
    <t>CRISTHY MAIRENE VIERA TORTOZA</t>
  </si>
  <si>
    <t>DIANA MARCELA ROBAYO DE LAMPREA</t>
  </si>
  <si>
    <t>PRESTAR SERVICIOS PROFESIONALES EN LA DIRECCIÓN DE CONVIVENCIA Y DIÁLOGOSOCIAL PARA FORTALECER LA CONVIVENCIA, LA CULTURA CIUDADANA Y LAGOBERNABILIDAD EN LA CIUDAD, ASÍ COMO REALIZAR EL ACOMPAÑAMIENTO DE LOSESCENARIOS DE CONFLICTIVIDAD Y PROTESTA QUE SE PRESENTEN EN LA CIUDAD</t>
  </si>
  <si>
    <t>31</t>
  </si>
  <si>
    <t>Prestar los servicios profesionales para la implementación de accionesen el manejo de relaciones con los actores políticos, económicos ysociales para la formulación de acciones encaminadas a atender lasasesorías técnicas especializadas que convoque la Dirección deRelaciones Políticas. Asuntos Normativos</t>
  </si>
  <si>
    <t>Prestar los servicios profesionales especializados para realizar lasactividades relacionadas con la atención y seguimiento a los conflictospolíticos&lt;(&gt;,&lt;)&gt; económicos y sociales; para el análisis del sistemapolítico distrital, la incidencia en los planes programas y proyectosque tiene adoptados la Administración Distrital y las estrategias desocialización, divulgación y espacios de discusión, con base en loslineamientos que le determine la Dirección de Relaciones Políticas y laslíneas de investigación del Observatorio de Asuntos Políticos.</t>
  </si>
  <si>
    <t>CAMILO ANDRES ANGARITA MOLINA</t>
  </si>
  <si>
    <t>ANDRES FELIPE BARRETO HENAO</t>
  </si>
  <si>
    <t>RAFAEL DAVID BLANCO CALDERON</t>
  </si>
  <si>
    <t>DIANA MARCELA CHAPARRO QUINTERO</t>
  </si>
  <si>
    <t>WILLIAM ELIAS SANABRIA ROMERO</t>
  </si>
  <si>
    <t>CRISTINA LILIANA RAMIREZ ARANGO</t>
  </si>
  <si>
    <t>ANDRES CAMILO MOYANO DUARTE</t>
  </si>
  <si>
    <t>ROSA MARIA GRANADOS ORTIZ</t>
  </si>
  <si>
    <t>OLENKA YAHAIDA MANCERA GUARIN</t>
  </si>
  <si>
    <t>LILIAN ROCIO ORJUELA DAZA</t>
  </si>
  <si>
    <t>Prestar los servicios profesionales para el diseño y producción depiezas gráficas y audiovisuales para las plataformas digitales y demásmedios internos y externos de la entidad</t>
  </si>
  <si>
    <t>Prestar los servicios profesionales a la Dirección de Contratación paraapoyar el cumplimiento de las diferentes etapas que se surtan en losprocesos contractuales y demás actividades propias de la dependencia</t>
  </si>
  <si>
    <t>Prestar los servicios profesionales brindando acompañamiento a losprocesos de espacios colaborativos y trámites a cargo de la Dirección deGestión de Talento Humano</t>
  </si>
  <si>
    <t>Apoyar la grabación y edición de los contenidos audiovisuales que serequieren en la Secretaría Distrital de Gobierno</t>
  </si>
  <si>
    <t>YENNY PATRICIA JIMENEZ BOLIVAR</t>
  </si>
  <si>
    <t>NOHORA PATRICIA TRUJILLO TOVAR</t>
  </si>
  <si>
    <t>Prestar los servicios profesionales a la Dirección para la Gestión delDesarrollo Local en el desarrollo de los programas de la estrategia deMitigación y Renovación Económica EMRE Local, asociados al eje de empleoLocal.</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</si>
  <si>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</si>
  <si>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</si>
  <si>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</si>
  <si>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</si>
  <si>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</si>
  <si>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</si>
  <si>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</si>
  <si>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</si>
  <si>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</si>
  <si>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</si>
  <si>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</si>
  <si>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</si>
  <si>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</si>
  <si>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</si>
  <si>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</si>
  <si>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</si>
  <si>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</si>
  <si>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</si>
  <si>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</si>
  <si>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</si>
  <si>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</si>
  <si>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</si>
  <si>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</si>
  <si>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</si>
  <si>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</si>
  <si>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</si>
  <si>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</si>
  <si>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</si>
  <si>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</si>
  <si>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</si>
  <si>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</si>
  <si>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</si>
  <si>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</si>
  <si>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</si>
  <si>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</si>
  <si>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</si>
  <si>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</si>
  <si>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ANGELA VIVIANA OROZCO CUBILLOS</t>
  </si>
  <si>
    <t>CARMEN VANESSA RODRIGUEZ VALENTIERRA</t>
  </si>
  <si>
    <t>CRISTHIAN CAMILO PRADA MUÑOZ</t>
  </si>
  <si>
    <t>Prestar los servicios profesionales en la Dirección para la GestiónAdministrativa Especial de Policía para apoyar la sustanciación y eltrámite de los recursos interpuestos contra las decisiones de losinspectores de policía, corregidores y alcaldes locales, así como elapoyo en la sustanciación de las respuestas que deban proferirse entrámites administrativos y constitucionales en que se vincule a laDirección.</t>
  </si>
  <si>
    <t>GERMAN ANDRES MAHECHA SUAREZ</t>
  </si>
  <si>
    <t>BRENDA VIVIANA JIMENEZ DIAZ</t>
  </si>
  <si>
    <t>IVAN JAVIER MONROY JINETE</t>
  </si>
  <si>
    <t>LEYDI VIVIANA RAMIREZ GOMEZ</t>
  </si>
  <si>
    <t>PAOLA ANDREA LOPEZ OLAVE</t>
  </si>
  <si>
    <t>Prestar servicios profesionales especializados para llevar a cabo larevisión jurídica de los asuntos que se tramitan en la Dirección deContratación de la Secretaría de Gobierno.</t>
  </si>
  <si>
    <t>Prestar servicios de apoyo a la gestión a la Subsecretaría de GestiónInstitucional en los puntos de atención a la ciudadanía de la SecretariaDistrital de Gobierno para la implementación de la Política PúblicaDistrital de Atención a la Ciudadanía</t>
  </si>
  <si>
    <t>EDUARDO WILSON MAYORGA CANGREJO</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</si>
  <si>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</si>
  <si>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</si>
  <si>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2021</t>
  </si>
  <si>
    <t>SANDRA LILIANA MONTEALEGRE CASTRILLON</t>
  </si>
  <si>
    <t>UNION TEMPORAL C&amp;M SEGURIDAD</t>
  </si>
  <si>
    <t>WENCESLAO  MALAVER BERNAL</t>
  </si>
  <si>
    <t>PRESTAR SERVICIOS PROFESIONALES EN LA DIRECCIÓN DE DERECHOS HUMANOSAPOYANDO LA COORDINACIÓN DE ACTIVIDADES MISIONALES Y ESTRATÉGICAS ACARGO DE LA DIRECCIÓN Y SUS DEPENDENCIAS ADSCRITAS.</t>
  </si>
  <si>
    <t>PRESTAR SERVICIOS PROFESIONALES EN LA DIRECCIÓN DE DERECHOS HUMANOSAPOYANDO LA COORDINACIÓN JURÍDICA DE ACTIVIDADES MISIONALES YESTRATÉGICAS A CARGO DE LA DIRECCIÓN Y SUS DEPENDENCIAS</t>
  </si>
  <si>
    <t>PRESTAR SERVICIOS PROFESIONALES A LA DIRECCIÓN DE DERECHOS HUMANOS PARAFORTALECER LA COORDINACIÓN DE LA TERRITORIALIZACIÓN DEL SISTEMADISTRITAL DE DERECHOS HUMANOS Y LA POLÍTICA PÚBLICA INTEGRAL DE DERECHOSHUMANOS EN LAS LOCALIDADES DE BOGOTÁ D.C.</t>
  </si>
  <si>
    <t>PRESTAR SERVICIOS PROFESIONALES EN LA DIRECCIÓN DE DERECHOS HUMANOS PARAAPOYAR LA COORDINACIÓN DE LA POLÍTICA PÚBLICA INTEGRAL DE DERECHOSHUMANOS, EL SISTEMA DISTRITAL DE DERECHOS HUMANOS Y LA FORMULACIÓN DE LAPOLÍTICA PÚBLICA PARA LA LUCHA CONTRA LA TRATA DE PERSONAS</t>
  </si>
  <si>
    <t>PRESTAR SERVICIOS PROFESIONALES EN LA DIRECCIÓN DE DERECHOS HUMANOS PARAAPOYAR LA COORDINACIÓN DE LA IMPLEMENTACIÓN, SEGUIMIENTO Y REPORTE A LAIMPLEMENTACIÓN DEL PROGRAMA DISTRITAL DE EDUCACIÓN EN DERECHOS HUMANOSPARA LA PAZ Y RECONCILIACIÓN</t>
  </si>
  <si>
    <t>Prestar servicios profesionales en la subdirección de asuntos de lalibertad religiosa y de conciencia para brindar acompañamiento jurídicoa la implementación y territorizalización de la política públicadistrital de libertades fundamentales de religión, culto y conciencia yla plataforma interreligiosa para la acción social y comunitaria(pirpas) y el fortalecimiento de la participación ciudadana del sector</t>
  </si>
  <si>
    <t>PRESTAR SERVICIOS PROFESIONALES PARA REALIZAR ACTIVIDADES DE GESTIÓNTÉCNICA, ENCAMINADAS A LA FORMULACIÓN E IMPLEMENTACIÓN DE POLÍTICASPÚBLICAS ÉTNICAS.</t>
  </si>
  <si>
    <t>PRESTAR SERVICIOS PROFESIONALES EN LA DIRECCIÓN DE DERECHOS HUMANOS PARAAPOYAR LA COORDINACIÓN DE ACCIONES DEPREVENCIÓN DE VULNERACIONES A LOSDERECHOS A LA VIDA, LIBERTAD, INTEGRIDAD Y SEGURIDAD DE PERSONAS, GRUPOSO COMUNIDADES, EN EL MARCO DE LAS COMPETENCIAS DEL DISTRITO, CON ÉNFASISEN POBLACIÓN LGBTI, VÍCTIMAS DEL DELITO DE TRATA DE PERSONAS,DEFENSORES(AS) DE DERECHOS HUMANOS Y ABUSOS DE LA FUERZA PÚBLICA</t>
  </si>
  <si>
    <t>Pago de servicios públicos de los inmuebles en donde se encuentran losespacios de atención diferenciada CONFIA y Casa IndígenaPago del servicio de energía de la casa del pensamiento indígena,ubicada en la Calle 9 No. 9 - 60, período facturado del 23 de noviembrede 2020 al 21 de diciembre de 2020, según facturas 618721556 y618721559-0</t>
  </si>
  <si>
    <t>Pago de servicios públicos de los inmuebles en donde se encuentran losespacios de atención diferenciada CONFIA y Casa IndígenaPago del servicio de aseo de la casa del pensamiento indígena, ubicadaen la calle 9 No. 9 - 60, periodo facturado del 28 de octubre al 27 denoviembre de 2020, según facturas:6187215252      47.160618721556       85.630618721559       47.160618721551       47.160618721547       47.160618721548       47.160618721549       47.160618721550       47.160618721553       47.160618721554       47.160</t>
  </si>
  <si>
    <t>Pago de servicios públicos de los inmuebles en donde se encuentran losespacios de atención diferenciada CONFIA y Casa IndígenaPago del servicio de acueducto y alcantarillado de la casa delpensamiento indígena, ubicada en la Calle 9 No. 9 - 60, períodofacturado del 30 de septiembre al 30 de noviembre de 2020, según facturano. 20541906317.</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</si>
  <si>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</si>
  <si>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EN LA SUBDIRECCIÓN DE ASUNTOS ÉTNICOS ENTEMAS RELACIONADOS CON EL SEGUIMIENTO ALA IMPLEMENTACIÓN DE LOS PLANESDE ACCIONES AFIRMATIVAS PARA GRUPOS ÉTNICOS Y GESTIÓN INTERINSTITUCIONALDE LOS MISMOS EN CONCERTACIÓN CON LAS POBLACIONES ÉTNICAS</t>
  </si>
  <si>
    <t>PRESTAR SERVICIOS PROFESIONALES PARA REALIZAR ACTIVIDADES DE GESTIÓNTÉCNICA PARA LA FORMULACIÓN E IMPLEMENTACIÓN DE POLÍTICAS PÚBLICASÉTNICAS</t>
  </si>
  <si>
    <t>Prestar servicios profesionales en la Dirección de Derechos Humanos comoenlace técnico para garantizar la atención requerida en laimplementación dela estrategia de Casa Refugio para la población LGBTIen el marco del programa de prevención de vulneraciones a los derechos ala vida, libertad&lt;(&gt;,&lt;)&gt; integridad y seguridad de personas LGBTI,víctimas del delito de trata de personas, líderes, lideresas, defensoresy defensoras de derechos humanos, que demanden medidas de prevención oprotección</t>
  </si>
  <si>
    <t>PRESTAR LOS SERVICIOS PROFESIONALES A LA DIRECCIÓN DE DERECHOS HUMANOSDE LA SECRETARIA DISTRITAL DE GOBIERNO EN LOS ASUNTOS JURÍDICOS YLEGALES QUE REQUIERAN LOS PROCESOS MISIONALES Y ADMINISTRATIVOS QUE SEADELANTAN EN LA DIRECCIÓN</t>
  </si>
  <si>
    <t>Prestar servicios profesionales en la subsecretaría para lagobernabilidad y la garantía de derechos para apoyar la implementación y seguimiento de la Política Pública Distrital para personas condiscapacidad, sus familias y cuidadores, la implementación de laSecretaría Técnica del Comité Técnico y Comité Distrital de Discapacidady demás instancias de coordinación</t>
  </si>
  <si>
    <t>Pago de servicios públicos de los inmuebles en donde se encuentran losespacios de atención diferenciada CONFIA y Casa Indígena.Pago de la Administración del centro de orientación y fortalecimientointegral Afrobogotano ( CONFIA ) de Suba, ubicado en la Diagonal 115 aNo. 70 D - 95, periodo facturado del 1 al 31 de enero de 2021, segúncuenta de cobro 9806.</t>
  </si>
  <si>
    <t>Pago de servicios públicos de los inmuebles en donde se encuentran losespacios de atención diferenciada CONFIA y Casa IndígenaPago del servicio de Acueducto y alcantarillado, del centro CONFIA desuba, ubicado en la Diagonal 115 a No. 70D-95 Local 10, periodofacturado del 10 de octubre de 2020 al 9 de diciembre de 2020, segúnfactura No. 33758990916.</t>
  </si>
  <si>
    <t>PRESTAR SERVICIOS PROFESIONALES EN LA SUBSECRETARÍA PARA LAGOBERNABILIDAD Y LA GARANTÍA DE DERECHOS EN EL EJERCICIODE LA SECRETARÍA TÉCNICA DISTRITAL DE DISCAPACIDAD, BRINDANDO ASISTENCIA TÉCNICA YOPERATIVA REQUERIDA POR LAS INSTANCIAS DEL SISTEMA DISTRITAL DEDISCAPACIDAD PARA EL ADECUADO DESARROLLO DE SUS ACTIVIDADES</t>
  </si>
  <si>
    <t>Prestar servicios profesionales en la subdirección de asuntos delibertad religiosa y de conciencia para realizar la gestión técnica parala implementación y territorialización de la política pública distritalde libertades fundamentales de religión, culto y conciencia, laplataforma interreligiosa para la acción social y comunitaria (pirpas),y el fortalecimiento de la participación ciudadana del sector</t>
  </si>
  <si>
    <t>PRESTAR SERVICIOS PROFESIONALES EN LA DIRECCIÓN DE DERECHOS HUMANOS PARAGARANTIZAR LA ATENCIÓN JURÍDICA REQUERIDAPARA LA IMPLEMENTACIÓN DE LAESTRATEGIA DE PREVENCIÓN DE VULNERACIONES A LOS DERECHOS A LA VIDA,LIBERTAD, INTEGRIDADY SEGURIDAD DE PERSONAS LGBTI, VICTIMAS DEL DELITODE TRATA DE PERSONAS, LIDERES, LIDERESAS, DEFENSORES Y DEFENSORAS DEDERECHOS HUMANOS QUE DEMANDEN MEDIDAS DE PREVENCIÓN O PROTECCIÓN</t>
  </si>
  <si>
    <t>ADICION Y PRORROGA CONTRATO DE PRESTACION DE SERVICIOS NO. 631 DE 2020</t>
  </si>
  <si>
    <t>PRESTAR SERVICIOS DE APOYO A LA GESTIÓN EN LA DIRECCIÓN DE DERECHOSHUMANOS PARA IMPLEMENTAR LAS ACCIONES DETERRITORIALIZACIÓN DEL SISTEMADISTRITAL DE DERECHOS HUMANOS Y LAS ACCIONES ESTRATÉGICAS DE LADIRECCIÓN A PARTIR DEUN ENFOQUE TERRITORIAL Y POBLACIONAL.</t>
  </si>
  <si>
    <t>PRESTAR SERVICIOS DE APOYO A LA GESTIÓN EN LA DIRECCIÓN DE DERECHOSHUMANOS PARA IMPLEMENTAR LAS ACCIONES DE TERRITORIALIZACIÓN DEL SISTEMADISTRITAL DE DERECHOS HUMANOS Y LAS ACCIONES ESTRATÉGICAS DE LADIRECCIÓN A PARTIR DE 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</si>
  <si>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LÍDERES, LIDERESAS, DEFENSORES Y DEFENSORASDE DERECHOS HUMANOS, QUE DEMANDEN MEDIDAS DE PREVENCIÓN O PROTECCIÓN.</t>
  </si>
  <si>
    <t>Pago de servicios públicos de los inmuebles en donde se encuentran losespacios de atención diferenciada CONFIA y Casa IndígenaPago del servicio de energía de CONFIA Candelaría, ubicada en la calle 9No. 4-70, periodo facturado 26 de noviembre de 2020 al 28 de diciembrede 2020, según factura No. 619243843-7.</t>
  </si>
  <si>
    <t>Pago de servicios públicos de los inmuebles en donde se encuentran losespacios de atención diferenciada CONFIA y Casa IndígenaPago del servicio de aseo de Confía Candelaría, ubicado en la calle 9No. 4-70, periodo 02 de noviembre al 01 de diciembre de 2020, segúnfactura No. 619243543.</t>
  </si>
  <si>
    <t>Pago de servicios públicos de los inmuebles en donde se encuentran losespacios de atención diferenciada CONFIA y Casa Indígena.Pago del servicio de energía del centro Confía San Cristobal, ubicado enla Cra 3 No. 30 A - 08 sur, periodo facturado el 07 de diciembre de 2020al 07 de enero de 2021. según factura no. 620350850-7</t>
  </si>
  <si>
    <t>Pago de servicios públicos de los inmuebles en donde se encuentran losespacios de atención diferenciada CONFIA y Casa Indígena.Pago del servicio de aseo del centro Confía San Cristobal, períodofacturado 13 de noviembre de 2020 al 12 de diciembre de 2020, segúnfactura No. 620350850.</t>
  </si>
  <si>
    <t>Prestar servicios profesionales en la subdirección de asuntos de lalibertad religiosa y de conciencia para realizar la gestión técnica yterritorialización de la política pública distrital de libertadesfundamentales de religión, culto y conciencia, la plataformainterreligiosa para la acción social y comunitaria (pirpas), y elfortalecimiento de la participación ciudadana del sector</t>
  </si>
  <si>
    <t>PRESTAR SERVICIOS PROFESIONALES EN LA DIRECCIÓN DE DERECHOS HUMANOS PARAIMPLEMENTAR LAS ACCIONES DETERRITORIALIZACIÓN DEL SISTEMA DISTRITAL DEDERECHOS HUMANOS Y LAS ACCIONES ESTRATÉGICAS DE LA DIRECCIÓN A PARTIRDEUN ENFOQUE TERRITORIAL Y POBLACIONAL.</t>
  </si>
  <si>
    <t>PRESTAR SERVICIOS PROFESIONALES EN LA DIRECCIÓN DE DERECHOS HUMANOS PARAGARANTIZAR LA ATENCIÓN JURÍDICA REQUERIDA PARA LA IMPLEMENTAICÓN DE LAESTRATEGIA DE PREVENCIÓN DE VULNERACIONES A LOS DERECHOS A LA VIDA,LIBERTAD, INTEGRIDADY SEGURIDAD DE PERSONAS LGBTI, VICTIMAS DEL DELITODE TRATA DE PERSONAS, LIDERES, LIDERESAS, DEFENSORES Y DEFENSORAS DEDERECHOS HUMANOS QUE DEMANDEN MEDIDAS DE PREVENCIÓN O PROTECCIÓN</t>
  </si>
  <si>
    <t>Prestar servicios profesionales en la Dirección de Derechos Humanos comoenlace técnico para garantizar la atención requerida en laimplementación dela ruta de prevención y protección para líderes ylideresas, en el marco del programa de prevención de vulneraciones a losderechos a la vida, libertad&lt;(&gt;,&lt;)&gt; integridad y seguridad de personasLGBTI, víctimas del delito de trata de personas, líderes, lideresas,defensores y defensoras de derechos humanos, que demanden medidas deprevención o protección.</t>
  </si>
  <si>
    <t>PRESTAR SERVICIOS PROFESIONALES EN LA SUBDIRECCIÓN DE ASUNTOS ÉTNICOS ENTEMAS RELACIONADOS CON LA POBLACION GITANA EN EL SEGUIMIENTO A LAIMPLEMENTACIÓN DE LOS PLANES DE ACCIONES AFIRMATIVAS PARA GRUPOS ÉTNICOSY GESTIÓN INTERINSTITUCIONAL DE LOS MISMOS EN CONCERTACIÓN CON LASPOBLACIONES ÉTNICAS</t>
  </si>
  <si>
    <t>PRESTAR SERVICIOS PROFESIONALES EN LA SUBDIRECCIÓN DE ASUNTOS ÉTNICOS ENTEMAS RELACIONADOS CON LOS PUEBLOS INDÍGENAS EN EL SEGUIMIENTO A LAIMPLEMENTACIÓN DE LOS PLANES DE ACCIONES AFIRMATIVAS PARA GRUPOS ÉTNICOSY GESTIÓN INTERINSTITUCIONAL DE LOS MISMOS EN CONCERTACIÓN CON LASPOBLACIONES ÉTNICAS</t>
  </si>
  <si>
    <t>PRESTAR SERVICIOS PROFESIONALES EN LA SUBDIRECCIÓN DE ASUNTOS ÉTNICOSPARA LA GESTIÓN TÉCNICA REQUERIDA PARA LAFORMULACIÓN DEL PLAN DE VIDADEL CABILDO INDÍGENA MHUYSQA DE BOSA CONCERTADO EN EL PROCESO DECONSULTA PREVIA DEL PLAN PARCIAL EL EDÉN EL DESCANSO.</t>
  </si>
  <si>
    <t>Aportar a la formulación, ajustes y cumplimiento del plan de trabajo2021 del equipo de prevención y protección enlace técnico para la rutade atención a las Víctimas del delito de Trata de Personas,principalmente a partir de i) Apoyar la operación de la SecretaríaTécnica del Comité Distrital para la Lucha contra la Trata de Personas,ii)Apoyo a la supervisión de los aspectos técnicos del procesocontractual a través del cual se prestan medidas de asistencia avíctimas del delito de trata de personas, realizando informes,proyección de requerimientos y seguimientos permanentes</t>
  </si>
  <si>
    <t>PRESTAR SERVICIOS DE APOYO A LA GESTIÓN EN LA SUBDIRECCIÓN DE ASUNTOSÉTNICOS PARA LA IMPLEMENTACIÓN Y SEGUIMIENTO DE LAS GESTIONESADMINISTRATIVAS Y DE ASISTENCIA A LA CIUDADANÍA EN LOS ESPACIOS DEATENCIÓN DIFERENCIAL PARA COMUNIDADES ÉTNICAS DEL DISTRITO</t>
  </si>
  <si>
    <t>Pago de servicios públicos de los inmuebles en donde se encuentran losespacios de atención diferenciada CONFIA y Casa IndígenaPAGO DEL SERVICIO DE ACUEDUCTO DE CONFIA SAN CRISTOBAL, UBICADO EN LACARRERA 3 No. 30A SUR - 08, PERIODO FACTURADO DEL 30 DE OCTUBRE AL 29 DEDICIEMBRE DE 2020, SEGÚN FACTURA No. 33765647012.</t>
  </si>
  <si>
    <t>Prestar servicios profesionales en la subdirección de asuntos de lalibertad religiosa y de conciencia para realizar la gestión técnica yterritorialización de la política pública distrital de libertadesfundamentales de religión, culto y conciencia y la plataformainterreligiosa para la acción social y comunitaria (pirpas) y elfortalecimiento de la participación ciudadana del sector</t>
  </si>
  <si>
    <t>PRESTAR SERVICIOS PROFESIONALES EN LA SUBDIRECCIÓN DE ASUNTOS DE LALIBERTAD RELIGIOSA Y DE CONCIENCIA PARA REALIZAR LA GESTIÓN TÉCNICA PARALA IMPLEMENTACIÓN Y TERRITORIZALIZACIÓN DE LA POLÍTICA PÚBLICA DISTRITALDE LIBERTADES FUNDAMENTALES DE RELIGIÓN, CULTO Y CONCIENCIA Y LAPLATAFORMA INTERRELIGIOSA PARA LA ACCIÓN SOCIAL Y COMUNITARIA (PIRPAS) YEL FORTALECIMIENTO DE LA PARTICIPACIÓN CIUDADANA DEL SECTOR</t>
  </si>
  <si>
    <t>Prestar servicios profesionales en la Dirección de Derechos Humanos comoenlace técnico para garantizar la atención requerida en laimplementación dela ruta de prevención y protección para víctimas deabuso policial en el marco del programa de prevención de vulneraciones alos derechos a la vida&lt;(&gt;,&lt;)&gt; libertad, integridad y seguridad depersonas LGBTI, víctimas del delito de trata de personas, líderes,lideresas, defensores y defensoras de derechos humanos, que demandenmedidas de prevención o protección.</t>
  </si>
  <si>
    <t>REALIZAR LA ADICIÓN Y PRORROGA DEL CONTRATO No. 468 DE 2020 SUSCRITO PORLA SECRETARIA DISTRITAL DE GOBIERNO Y CRUZ ROJA COLOMBIANA SECCIONALCUNDINAMARCA Y BOGOTÁ</t>
  </si>
  <si>
    <t>618721559-0</t>
  </si>
  <si>
    <t>NICOLAS EDUARDO RIAÑO JIMENEZ</t>
  </si>
  <si>
    <t>ABRAHAM ANTONIO MELO POVEDA</t>
  </si>
  <si>
    <t>MARCO ANDRES OLAYA BUITRAGO</t>
  </si>
  <si>
    <t>FABIAN EDUARDO LOPEZ SALEME</t>
  </si>
  <si>
    <t>JOSE DAVID MURGAS OÑATE</t>
  </si>
  <si>
    <t>Prestar servicios profesionales especializados en la Subsecretaría deGestión Local para apoyar la coordinación de la intervención yseguimiento de asuntos relacionados con el uso del espacio público y laprevención de las ocupaciones ilegales en el marco de la estrategiadefinida por la subsecretaría.</t>
  </si>
  <si>
    <t>Prestar los servicios profesionales especializados en la Dirección parala Gestión Administrativa Especial de Policía para apoyar lasustanciación y el trámite de los recursos interpuestos contra lasdecisiones de los inspectores de policía, corregidores y alcaldeslocales.</t>
  </si>
  <si>
    <t>Prestar los servicios profesionales a la Dirección para la GestiónPoliciva, con el fin de brindar soporte jurídico, frente a la gestión yprocesos a cargo de la Dirección para la Gestión Policiva</t>
  </si>
  <si>
    <t>Prestar los servicios profesionales brindando apoyo jurídico frente a lagestión y procesos generales a cargo de la Dirección para la GestiónPoliciva</t>
  </si>
  <si>
    <t>Prestar los servicios profesionales especializados a la Dirección parala Gestión Policiva, consistentes en la coordinación y dirección de lasactividades de planeación y seguimiento a las acciones y procesosdesarrollados por la Dirección que permitan fortalecer la inspección,vigilancia y control</t>
  </si>
  <si>
    <t>Prestar los servicios profesionales a la Dirección para la GestiónPoliciva, para brindar soporte técnico, mantenimiento y realizar laadministración de los sistemas de información, bases de datos yrepositorios de la DGP.</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</si>
  <si>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</si>
  <si>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especializados en la Dirección parala Gestión Administrativa Especial de Policía, para apoyar lasustanciación y el trámite de los recursos interpuestos contra lasdecisiones de los inspectores de policía, corregidores y alcaldeslocales y elaborar las líneas decisionales(relatoría) y lineamientosinternos para la toma de decisiones.</t>
  </si>
  <si>
    <t>Prestar los servicios profesionales a la Dirección para la GestiónPoliciva de la Secretaria Distrital de Gobierno, para la generación demodelos de análisis y predicción de conductas contrarias a laconvivencia.</t>
  </si>
  <si>
    <t>Prestar los Servicios Profesionales Especializados brindando apoyojurídico frente a la gestión y procesos generales a cargo de laDirección para la Gestión Policiva</t>
  </si>
  <si>
    <t>Prestar los servicios profesionales a la Dirección de Gestión Policiva,acompañando actividades de inspección vigilancia y control IVC, queefectúan las Alcaldías Locales y/o las autoridades de policía a cargo dela Secretaria Distrital de Gobierno</t>
  </si>
  <si>
    <t>Prestar los servicios profesionales apoyando a la Dirección para laGestión Policiva, en el acompañamiento a las estrategias de comunicaciónen la prevención de conductas contrarias a la convivencia en el marcodel código de seguridad y convivencia ciudadana</t>
  </si>
  <si>
    <t>Prestar los servicios profesionales a la Dirección para la GestiónPoliciva en el desarrollo y seguimiento de los trámites y servicios acargo de esta, así como acompañando actividades de inspección,vigilancia y control IVC, que efectúan las autoridades de policía acargo de la Secretaría Distrital de Gobierno.</t>
  </si>
  <si>
    <t>Prestar los servicios profesionales a la Dirección de Gestión Policiva,en el desarrollo y seguimiento de los trámites y servicios a cargo deesta, así como acompañando actividades de inspección, vigilancia ycontrol IVC, que efectúan las autoridades de policía a cargo de laSecretaría Distrital de Gobierno.</t>
  </si>
  <si>
    <t>Prestar los servicios profesionales apoyando la realización de lasacciones de planeación y seguimiento desarrolladas por la Dirección parala Gestión Policiva, en relación con la inspección, vigilancia y control</t>
  </si>
  <si>
    <t>Prestar los servicios profesionales a la Dirección para la GestiónPoliciva, en el desarrollo y seguimiento de los trámites y servicios acargo de esta, así como acompañando actividades de inspección vigilanciay control IVC que efectúan las autoridades de policía a cargo de laSecretaria Distrital de Gobierno</t>
  </si>
  <si>
    <t>Prestar los servicios profesionales a la Dirección para la GestiónPoliciva, acompañando las labores relacionadas con la planeación yejecución de las actividades asociadas a herramientas de información,bases de datos, cuadros de control, tableros de mando, en el marco delproceso de depuración e impulso de las actuaciones administrativas enlas localidades</t>
  </si>
  <si>
    <t>Prestar los servicios profesionales, a la Dirección para la GestiónPoliciva, para realizar acompañamiento técnico en los procesos queadelante la Dirección para actividades de Inspección, Vigilancia yControl que realicen las Inspecciones de Policía y Alcaldías Localesasociados a temas ambientales para el fortalecimiento de la gestióninstitucional de las mismas</t>
  </si>
  <si>
    <t>Prestar los Servicios Profesionales a la Dirección para la GestiónPoliciva para desarrollar actividades relacionadas con el cumplimientodel Modelo Integrado de Planeación y Gestión MIPG y apoyar la ejecucióny seguimiento del proyecto de inversión 7795 ''Fortalecimiento de laconvivencia y el ejercicio policivo a cargo de la SDG en el DistritoCapital 2020 - 2024'</t>
  </si>
  <si>
    <t>Prestar los servicios profesionales para apoyar y acompañar técnicamentea la Dirección para la Gestión Policiva en el seguimiento ycumplimiento, de las acciones tendientes al acatamiento de sentenciasjudiciales o sanciones administrativas impuestas a la SecretariaDistrital de Gobierno o las Alcaldías Locales en lo referente a loscerros orientales y rio Bogotá.</t>
  </si>
  <si>
    <t>Prestar los servicios profesionales de soporte jurídico a la Direcciónpara la Gestión Policiva en los trámites operativos y administrativos deaplicación por sanción del Comparendo Ambiental y temas conexos,atendiendo la normativa legal vigente aplicable en la materia</t>
  </si>
  <si>
    <t>Prestar los servicios profesionales de apoyo jurídico y asesoría legalfrente a la gestión y procesos generales a cargo de la Dirección para laGestión Policiva</t>
  </si>
  <si>
    <t>Prestar los Servicios Profesionales a la Dirección para la GestiónPoliciva con el fin de desarrollar actividades de gestión y seguimientoal proyecto de inversión 7795 ''Fortalecimiento de la convivencia y elejercicio policivo a cargo de la SDG en el Distrito Capital 2020 - 2024"y apoyar las actividades enmarcadas en el Modelo Integrado de Planeacióny Gestión</t>
  </si>
  <si>
    <t>Prestar los servicios profesionales a la Dirección para la GestiónPoliciva con la finalidad de formular, diseñar e implementar estrategiaspedagógicas para el fortalecimiento de la cultura ciudadana, tendientesa disminuir los comportamientos contrarios a la convivencia y mitigar elriesgo frente a la emergencia sanitaria generada por la Covid -19, quedetermine la Dirección.</t>
  </si>
  <si>
    <t>Prestar servicios profesionales especializados en la Subsecretaría deGestión Local para la intervención y seguimiento de asuntos relacionadoscon el uso del espacio público y la prevención de las ocupacionesilegales en el marco de la estrategia definida por la subsecretaría.</t>
  </si>
  <si>
    <t>Prestar servicios profesionales jurídicos en la Subsecretaría de GestiónLocal para la intervención y seguimiento de asuntos relacionados con eluso del espacio público y la prevención de las ocupaciones ilegales enel marco de la estrategia definida por la subsecretaría.</t>
  </si>
  <si>
    <t>Prestar los servicios profesionales a la Dirección para la GestiónPoliciva, en el desarrollo y seguimiento de los trámites y servicios acargo de esta, así como acompañando actividades de inspección vigilanciay control IVC que efectúan las autoridades de policía a cargo de laSecretaria Distrital de Gobierno.</t>
  </si>
  <si>
    <t>Prestar servicios profesionales en la Subsecretaría de Gestión Localpara la intervención y seguimiento de asuntos relacionados con el usodel espacio público y la prevención de las ocupaciones ilegales en elmarco de la estrategia definida por la subsecretaría.</t>
  </si>
  <si>
    <t>Prestar servicios de apoyo a la gestión en la Subsecretaría de GestiónLocal para la intervención y seguimiento de asuntos relacionados con eluso del espacio público y la prevención de las ocupaciones ilegales enel marco de la estrategia definida por la subsecretaría.</t>
  </si>
  <si>
    <t>Prestar los servicios profesionales como abogado para apoyar y acompañara la Dirección para la Gestión Policiva en el seguimiento ycumplimiento, delas acciones tendientes al acatamiento de sentenciasjudiciales o sanciones administrativas impuestas a la SecretariaDistrital de Gobierno o las Alcaldías Locales en lo referente a loscerros orientales y rio Bogotá</t>
  </si>
  <si>
    <t>Prestar los servicios profesionales apoyando los procesos funcionales delos sistemas de información de la Dirección para la Gestión Policiva</t>
  </si>
  <si>
    <t>Prestar los servicios profesionales de soporte jurídico a la Direcciónpara la Gestión Policiva en los trámites operativos y administrativos deaplicación por sanción del Comparendo Ambiental y temas conexos,atendiendo la normativa legal vigente aplicable en la materia.</t>
  </si>
  <si>
    <t>MARIA LAURA LIGARRETO BARRIENTOS</t>
  </si>
  <si>
    <t>PRESTAR SERVICIOS PROFESIONALES ESPECIALIZADOS EN LA DIRECCIÓN DECONVIVENCIA Y DIÁLOGO SOCIAL PARA APOYAR ELCORRECTO DESEMPEÑO MISIONALDE LA DIRECCIÓN EN LOS TEMAS RELACIONADOS CON LA CONVIVENCIA, DIÁLOGOSOCIAL Y PROTESTAS SOCIALES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</si>
  <si>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</si>
  <si>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SERVICIOS PROFESIONALES ESPECIALIZADOS EN LA DIRECCIÓN DECONVIVENCIA Y DIÁLOGO SOCIAL PARA APOYAR EL CORRECTO DESEMPEÑO MISIONALDE LA DIRECCIÓN EN LOS TEMAS RELACIONADOS CON LA CONVIVENCIA, DIÁLOGOSOCIAL Y PROTESTAS SOCIALES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</si>
  <si>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</si>
  <si>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SERVICIOS PROFESIONALES EN LA DIRECCIÓN DE CONVIVENCIA Y DIÁLOGOSOCIAL PARA APOYAR EL CORRECTO DESEMPEÑO MISIONAL DE LA DIRECCIÓN EN LOSTEMAS RELACIONADOS CON LA CONVIVENCIA, DIÁLOGO SOCIAL Y PROTESTAS SOCIAL</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</si>
  <si>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DE GOBERNABILIDAD, ASISTIR LOS TEMAS RELACIONADOS CON LACONVIVENCIA, DIÁLOGO SOCIAL Y PROTESTAS</t>
  </si>
  <si>
    <t>PRESTAR SERVICIOS PROFESIONALES EN LA DIRECCIÓN DE CONVIVENCIA Y DIÁLOGOSOCIAL PARA APOYAR EL CORRECTO DESEMPEÑO MISIONAL DE LA DIRECCIÓN EN LOSTEMAS RELACIONADOS CON LA CONVIVENCIA, DIÁLOGO SOCIAL Y PROTESTASSOCIALES</t>
  </si>
  <si>
    <t>PRESTAR SERVICIOS PROFESIONALES EN LA DIRECCIÓN DE CONVIVENCIA Y DIÁLOGOSOCIAL PARA FORTALECER LA CONVIVENCIA, LA CULTURA CIUDADANA Y LAGOBERNABILIDAD EN LA CIUDAD, REALIZAR EL ACOMPAÑAMIENTO DE LOSESCENARIOS DE CONFLICTIVIDAD Y PROTESTA QUE SE PRESENTEN EN LA CIUDAD,ASISTIR LOS TEMAS RELACIONADOS CON LA CONVIVENCIA, DIÁLOGO SOCIALYPROTESTAS.</t>
  </si>
  <si>
    <t>PRESTAR SERVICIOS PROFESIONALES EN LA DIRECCIÓN DE CONVIVENCIA Y DIÁLOGOSOCIAL PARA APOYAR EL CORRECTO DESEMPEÑO MISIONAL DE LA DIRECCIÓN EN LOSTEMAS RELACIONADOS CON LA CONVIVENCIA, DIÁLOGO SOCIAL Y PROTESTASSOCIALES.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</si>
  <si>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DE GOBERNABILIDAD, ASISTIR LOS TEMAS RELACIONADOS CON LACONVIVENCIA,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</si>
  <si>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t>
  </si>
  <si>
    <t>PRESTAR SERVICIOS DE APOYO A LA GESTIÓN EN LA DIRECCIÓN DE CONVIVENCIA YDIÁLOGO SOCIAL PARA FORTALECER LA CONVIVENCIA, LA CULTURA CIUDADANA Y LAGOBERNABILIDAD EN LA CIUDAD, ASÍ COMO REALIZAR EL ACOMPAÑAMIENTO DE LOSESCENARIOS DE CONFLICTIVIDAD Y PROTESTA QUE SE PRESENTEN EN LA CIUDAD.</t>
  </si>
  <si>
    <t>PRESTAR SERVICIOS DE APOYO A LA GESTIÓN PARA LA PROMOCIÓN DE LA SANACONVIVENCIA EN EL FÚTBOL DENTRO Y FUERA DEL ESTADIO A TRAVÉS DELPROGRAMA DE BARRISMO SOCIAL, ASISTIR LOS TEMAS RELACIONADOS CON LACONVIVENCIA, DIALOGO SOCIAL Y PROTESTAS</t>
  </si>
  <si>
    <t>PRESTAR LOS SERVICIOS PROFESIONALES EN LA DIRECCIÓN DE CONVIVENCIA YDIÁLOGO SOCIAL PARA BRINDAR ACOMPAÑAMIENTO EN LOS PROCESOS DECONFLICTIVIDAD SOCIAL, MOVILIZACIÓN CIUDADANA, AGLOMERACIONES, APOYAR LAIMPLEMENTACIÓN DE ACCIONESDE DIÁLOGO Y PREVENCIÓN QUE SE REQUIERAN ENMATERIA GOBERNABILIDAD, ASISTIR LOS TEMAS RELACIONADOS CON LACONVIVENCIA, DIÁLOGO SOCIAL Y PROTESTAS.</t>
  </si>
  <si>
    <t>PRESTAR LOS SERVICIOS DE APOYO A LA GESTIÓN A LA DIRECCIÓN DECONVIVENCIA Y DIÁLOGO SOCIAL PARA BRINDAR ACOMPAÑAMIENTO EN LOS PROCESOSDE CONFLICTIVIDAD SOCIAL, MOVILIZACIÓN CIUDADANA, AGLOMERACIONES, APOYARLAIMPLEMENTACIÓN DE ACCIONES DE DIÁLOGO Y PREVENCIÓN QUE SE REQUIERAN ENMATERIA GOBERNABILIDAD, ASISTIR LOS TEMAS RELACIONADOS CON LACONVIVENCIA, DIÁLOGO SOCIAL Y PROTESTAS</t>
  </si>
  <si>
    <t>PRESTAR SERVICIOS DE APOYO A LA GESTIÓN PARA LA PROMOCIÓN DE LA SANACONVIVENCIA EN EL FÚTBOL DENTRO Y FUERA DEL ESTADIO A TRAVÉS DELPROGRAMA DE BARRISMO SOCIAL</t>
  </si>
  <si>
    <t>PRESTAR SERVICIOS PROFESIONALES ESPECIALIZADOS PARA ASESORAR LOSPROCESOS DE ARTICULACIÓN ESTRATÉGICA DE LASACTIVIDADES PROPIAS DE LAMISIONALIDAD DE LA SUBSECRETARÍA Y SUS DEPENDENCIAS, EN EL MARCO DELMODELO DE GESTIÓN DELA ENTIDAD</t>
  </si>
  <si>
    <t>PRESTAR SERVICIOS PROFESIONALES ESPECIALIZADOS EN LA SUBSECRETARÍA PARALA GOBERNABILIDAD Y LA GARANTÍA DE DERECHOS PARA APOYAR LOS TEMASJURÍDICOS DE LA SUBSECRETARÍA EN EL MARCO DEL MODELO DE GESTIÓN DE LAENTIDAD.</t>
  </si>
  <si>
    <t>PRESTAR LOS SERVICIOS PROFESIONALES ESPECIALIZADOS EN LA SUBSECRETARÍAPARA LA GOBERNABILIDAD Y LA GARANTÍA DE DERECHOS PARA APOYAR EN LACOORDINACIÓN Y EJECUCIÓN DE LOS PROCESOS MISIONALES, PLANESESTRATÉGICOS, APLICACIÓN DEL CICLO DE POLÍTICAS PÚBLICAS CON ENFOQUEDIFERENCIAL Y LOS TEMAS RELACIONADOS CON LOS PROCESOS DE PARTICIPACIÓNDIGITAL E INNOVACIÓN SOCIAL A CARGO DE LAS DEPENDENCIAS ADSCRITAS A LASUBSECRETARIA.</t>
  </si>
  <si>
    <t>PRESTAR SERVICIOS PROFESIONALES A LA SUBSECRETARÍA PARA LAGOBERNABILIDAD Y GARANTÍA DE DERECHOS PARA APOYAR LOSTEMAS JURÍDICOS ENEL MARCO DEL MODELO DE GESTIÓN DE LA ENTIDAD Y LOS PROCESOS DEPARTICIPACIÓN DIGITAL E INNOVACIÓN SOCIAL</t>
  </si>
  <si>
    <t>Prestar servicios profesionales especializados en los desarrollostécnicos y articulación interinstitucional requerida para el diseño,implementación y seguimiento a políticas, planes, programas y proyectosen materia de participación ciudadana.</t>
  </si>
  <si>
    <t>Prestar servicios profesionales especializados en la Subsecretaría parala Gobernabilidad y la Garantía de Derechos para apoyar la coordinacióny seguimiento a la formulación e implementación de políticas públicas,planes y proyectos a cargo de la Subsecretaría</t>
  </si>
  <si>
    <t>PRESTAR SERVICIOS PROFESIONALES EN LA SUBSECRETARÍA PARA LAGOBERNABILIDAD Y LA GARANTÍA DE DERECHOS PARA APOYAREL ACOMPAÑAMIENTO YSEGUIMIENTO A LA FORMULACIÓN E IMPLEMENTACIÓN DE POLÍTICAS PÚBLICAS,PLANES Y PROYECTOS A CARGODE LA SUBSECRETARÍA</t>
  </si>
  <si>
    <t>Prestar los servicios profesionales especializados para apoyarjurídicamente a la Dirección de Relaciones Políticas en la celebración yejecución de procesos contractuales y las gestiones propias de laDirección que permitan el fortalecimiento de la Administración Distritalcon los actores políticos. (Juntas Administradoras Locales, Congreso dela República y Concejo de Bogotá)</t>
  </si>
  <si>
    <t>Prestar los servicios profesionales a la Dirección de RelacionesPolíticas para realizar las actividades relacionadas con la formulación,implementación&lt;(&gt;,&lt;)&gt; seguimiento y evaluación de los espacios generadospor las instancias de integración territorial para el fortalecimiento dela ciudad-región, de acuerdo con las metas del proyecto de inversión ylos lineamientos que sobre esta materia se adopten</t>
  </si>
  <si>
    <t>Prestar los servicios de apoyo a la gestión en la Dirección deRelaciones Políticas para las actividades técnicas y administrativas, enel marco del seguimiento a las respuestas de las solicitudes querealizan los actores políticos locales, en el marco del fortalecimientode las relaciones de la Administración Distrital con las JuntasAdministradoras Locales</t>
  </si>
  <si>
    <t>Prestar los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</si>
  <si>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a la Dirección de RelacionesPolíticas para realizar las actividades relacionadas con laconsolidación de documentos sobre la atención y seguimiento a losconflictos políticos y sociales, con los actores relevantesidentificados, de acuerdo con las directrices que sobre esta materia seimplementen en la Dependencia</t>
  </si>
  <si>
    <t>Prestar los servicios profesionales para realizar el apoyo alseguimiento de las sesiones de las Comisiones Permanentes y la Plenaria,mesas de trabajo&lt;(&gt;,&lt;)&gt; foros, comisiones accidentales y audiencias,adelantadas por el Concejo de Bogotá, atendiendo lo establecido en lanormatividad vigente y procedimientos que tenga adoptados la SecretaríaDistrital de Gobierno</t>
  </si>
  <si>
    <t>Prestar los servicios profesionales a la Dirección de RelacionesPolíticas para la implementación, seguimiento y evaluación de los planesde acción y las estrategias encaminadas a atender los requerimientospresentados por las Juntas Administradoras Locales en vías delfortalecimiento de las relaciones de estas corporaciones con laAdministración Distrital.</t>
  </si>
  <si>
    <t>Prestar los servicios profesionales a la Dirección de RelacionesPolíticas para planear, implementar, hacer seguimiento y evaluar lasactividades relacionadas con los procesos electorales que se adelantenen Bogotá, de acuerdo con los calendarios establecidos por laRegistraduría Nacional del Estado Civil, los lineamientos que sobre estamateria tenga adoptados la Dependencia y la normatividad que regula lamateria</t>
  </si>
  <si>
    <t>Prestar los servicios profesionales para atender, adelantar y gestionarlos asuntos relacionados con la función del Congreso de la Republica entemas de control político, audiencias públicas y estudio ¿ priorizacióny trámite de proyectos de ley y/o actos legislativos de interés de laAdministración Distrital, de conformidad con la normatividad vigente ylos lineamientos que sobre esta materia estén reglamentados en laSecretaría Distrital de Gobierno.</t>
  </si>
  <si>
    <t>JOSE FERNANDO MILLAN CRUZ</t>
  </si>
  <si>
    <t>IVETTE CATALINA MARTINEZ MARTINEZ</t>
  </si>
  <si>
    <t>WILLIAMS CAMILO LONDOÑO MENECES</t>
  </si>
  <si>
    <t>LINDA CAROLINA GAMBOA PATERNINA</t>
  </si>
  <si>
    <t>CARLOS ALBERTO BARRERO CANTOR</t>
  </si>
  <si>
    <t>GINA PAOLA ROJAS GUTIERREZ</t>
  </si>
  <si>
    <t>ELIAS JAIME BARRANTES GONZALEZ</t>
  </si>
  <si>
    <t>DIEGO ARMANDO PINZON ACOSTA</t>
  </si>
  <si>
    <t>CAMILO ANDRES CASTAÑEDA HERNANDEZ</t>
  </si>
  <si>
    <t>MANUEL ALEXANDER BEJARANO SALGADO</t>
  </si>
  <si>
    <t>VANESSA MARIA CAMILA ARAQUE SOSA</t>
  </si>
  <si>
    <t>PAOLA ANDREA PARDO FALLA</t>
  </si>
  <si>
    <t>SARA NOHELIA VELASQUEZ GUERRA</t>
  </si>
  <si>
    <t>JULIAN GERARDO ROJAS AGUIRRE</t>
  </si>
  <si>
    <t>EDUARD ALDEMAR SOTELO</t>
  </si>
  <si>
    <t>JAIRO ORLANDO RODRIGUEZ PABON</t>
  </si>
  <si>
    <t>FANNY JULYANNA MORENO CORTES</t>
  </si>
  <si>
    <t>NURY CAROLINA OSUNA PARRA</t>
  </si>
  <si>
    <t>ANDRES FELIPE GOMEZ DIAZ</t>
  </si>
  <si>
    <t>CAROL LIZETH PEDRAZA RODRIGUEZ</t>
  </si>
  <si>
    <t>FABIO ANDRES BUSTOS ARDILA</t>
  </si>
  <si>
    <t>CLAUDIA BOLENA FAJARDO URREA</t>
  </si>
  <si>
    <t>GRACE VIVIANA GOMEZ PARIS</t>
  </si>
  <si>
    <t>JOHANNA  ACOSTA PEÑA</t>
  </si>
  <si>
    <t>LIZETH PAOLA REY PEREZ</t>
  </si>
  <si>
    <t>JHON EDISSON VILLARREAL PADILLA</t>
  </si>
  <si>
    <t>JUANA CATALINA QUINTERO NAVARRO</t>
  </si>
  <si>
    <t>MARIA ELENA DIAZ SANCHEZ</t>
  </si>
  <si>
    <t>CESAR LEANDRO PENAGOS VILLARRAGA</t>
  </si>
  <si>
    <t>JEHISON DAVID CIFUENTES CORTES</t>
  </si>
  <si>
    <t>MARTHA YOLANDA GARZON MARENCO</t>
  </si>
  <si>
    <t>MARIA FERNANDA MARTINEZ ARDILA</t>
  </si>
  <si>
    <t>ANDREA DEL PILAR GUTIERREZ AGUILERA</t>
  </si>
  <si>
    <t>LUIS EDUARDO FLOREZ MENDEZ</t>
  </si>
  <si>
    <t>ANA MERCEDES ORJUELA RODRIGUEZ</t>
  </si>
  <si>
    <t>MARIA FERNANDA RODRIGUEZ PINEDA</t>
  </si>
  <si>
    <t>PEDRO ALONSO GRATZ ESPINOSA</t>
  </si>
  <si>
    <t>JOSE LEONARDO CARRILLO CORTES</t>
  </si>
  <si>
    <t>BRIGITTE ALEXANDRA BERNAL SANCHEZ</t>
  </si>
  <si>
    <t>Prestar los servicios profesionales especializados en la Subsecretaríade Gestión Institucional en el acompañamiento técnico y fortalecimientode las acciones y lineamientos de gestión institucional en el marco delmodelo integrado de planeación y gestión institucional y sectorial.</t>
  </si>
  <si>
    <t>Prestar servicios profesionales especializados, asesorando jurídicamentea la Subsecretaría de Gestión Institucional en los procesos de Gestiónde la Entidad, de acuerdo con las competencias de la Subsecretaría.</t>
  </si>
  <si>
    <t>Prestar los servicios profesionales especializados en la Subsecretaríade Gestión Institucional en el acompañamiento técnico a las acciones degestión institucional para el fortalecimiento de estrategias orientadasa la lucha contra la corrupción, transparencia y gobierno abierto</t>
  </si>
  <si>
    <t>Prestar servicios profesionales para apoyar técnicamente laimplementación de la Política Pública de Transparencia, Integridad y NoTolerancia con la Corrupción, en el nivel central y local de laSecretaría Distrital de Gobierno.</t>
  </si>
  <si>
    <t>Prestar los servicios profesionales a la Dirección de Gestión delTalento Humano con el fin de brindar apoyo jurídico en los procesos acargo de la Dirección</t>
  </si>
  <si>
    <t>Prestar los servicios profesionales a la Dirección de Gestión delTalento Humano como apoyo a los procesos transversales y estrategiasinstitucionales a cargo de la Dirección.</t>
  </si>
  <si>
    <t>PRESTAR LOS SERVICIOS PROFESIONALES EN LA EJECUCIÓN Y SEGUIMIENTO DE LOSPROCESOS, PROCEDIMIENTOS PROPIOS DE LA SUBSECRETARIA DE GESTIÓNINSTITUCIONAL EN LOS PUNTOS DE ATENCIÓN A LA CIUDADANÍA DE LA SECRETARIADISTRITAL DE GOBIERNO PARA EL APOYO EN LA IMPLEMENTACIÓN DE LA POLÍTICAPÚBLICA DISTRITAL DE ATENCIÓN A LA CIUDADANÍA</t>
  </si>
  <si>
    <t>Prestar los servicios profesionales a la Secretaria Distrital deGobierno como enlace y cubrimiento periodístico de la gestión adelantadapor las 20 localidades</t>
  </si>
  <si>
    <t>Prestar los servicios profesionales a la Oficina Asesora deComunicaciones como editor de contenidos y coordinación periodística dela Secretaría Distrital de Gobierno</t>
  </si>
  <si>
    <t>Prestar los servicios profesionales para apoyar a la Oficina Asesora deComunicaciones en la formulación, implementación, y el desarrollo deproductos periodísticos de la gestión de la Subsecretaria deGobernabilidad y Garantía de Derechos.</t>
  </si>
  <si>
    <t>Prestar los servicios profesionales a la Subsecretaría de GestiónInstitucional para la implementación de la Política Pública Distrital deAtención a la Ciudadanía</t>
  </si>
  <si>
    <t>Prestar los servicios profesionales a la Subsecretaría de GestiónInstitucional para la implementación de la Política Pública Distrital deAtención a la Ciudadanía.</t>
  </si>
  <si>
    <t>Asesorar a la Oficina de Comunicaciones en los procesos de contratación,y apoyar en la supervisión para la implementación del Plan Estratégico ydemás procesos de planeación que requiera la dependencia con el fin defortalecer la promoción y divulgación de las políticas, planes,programas y proyectos que lidera la entidad</t>
  </si>
  <si>
    <t>Prestar los servicios profesionales en la Dirección Jurídica de laSecretaría Distrital de Gobierno para adelantar las actividadesrelacionadas con el Sistema Único de Gestión para el registro,evaluación y autorización de actividades de aglomeración de público enel Distrito Capital, y demás actividades administrativas que requiera laDirección Jurídica para el cumplimiento de su misionalidad</t>
  </si>
  <si>
    <t>Prestar servicios profesionales en la proyección, seguimiento yejecución de los procesos, procedimientos y actividades propias de laDirección Financiera</t>
  </si>
  <si>
    <t>PRESTAR SERVICIOS DE APOYO A LA GESTION EN LA PROYECCION, SEGUIMIENTO YEJECUCION DE LOS PROCESOS PROCEDIMIENTOS Y ACTIVIDADES PROPIAS DE LADIRECCION FINANCIERA</t>
  </si>
  <si>
    <t>PRESTAR SERVICIOS PROFESIONALES ESPECIALIZADOS A LA DIRECCIÓN DE GESTIÓNDEL TALENTO HUMANO ASESORANDO PROCESOSY ESTRATEGIAS A SU CARGO.</t>
  </si>
  <si>
    <t>Prestar los servicios profesionales a la Dirección de Gestión delTalento Humano con el fin de brindar apoyo en los procesos a cargo de laDirección.</t>
  </si>
  <si>
    <t>Prestar los servicios de apoyo a la gestión para el soporte técnico,actualización de contenidos, edición y creación de nuevas secciones,para la administración y gestión de contenidos en los portales web de laSecretaría Distrital de Gobierno y Alcaldías locales</t>
  </si>
  <si>
    <t>Prestar servicios de apoyo como Social Media y Community Manager de laSecretaría de Gobierno para promover los programas y proyectos de laentidad que benefician a la ciudadanía</t>
  </si>
  <si>
    <t>PRESTAR SERVICIOS PROFESIONALES EN LA PROYECCIÓN, SEGUIMIENTO YEJECUCIÓN DE LOS PROCESOS, PROCEDIMIENTOS Y ACTIVIDADES PROPIAS DE LADIRECCIÓN FINANCIERA</t>
  </si>
  <si>
    <t>PRESTAR LOS SERVICIOS PROFESIONALES PARA LA ADMINISTRACIÓN DE LAPLATAFORMA MICROSOFT AZURE, SIGUIENDO LOS LINEAMIENTOS Y LAS NECESIDADESPLANTEADAS POR LA DIRECCIÓN DE TECNOLOGÍAS E INFORMACIÓN DE LASECRETARIA DISTRITAL DE GOBIERNO</t>
  </si>
  <si>
    <t>Prestar los servicios profesionales en la oficina Asesora de Planeaciónen el acompañamiento técnico y metodológico para la formulación yseguimiento a los proyectos de inversión</t>
  </si>
  <si>
    <t>Prestar los servicios profesionales en la Dirección de Tecnologías eInformación para llevar a cabo la construcción, soporte y mantenimientode las aplicaciones requeridas por la Secretaría Distrital de Gobierno,enmarcadas dentro de las etapas de análisis, diseño, desarrollo eimplementación de sistemas de información, bajo arquitectura dedesarrollo JAVA y base de datos ORACLE</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</si>
  <si>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</si>
  <si>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de apoyo a la gestión de los serviciostecnológicos y seguimiento a la mesa de servicios en la Dirección deTecnologías e Información</t>
  </si>
  <si>
    <t>Prestar los servicios profesionales para apoyar jurídicamente en lasacciones de descongestión de derechos de petición radicados ante laSecretaría Distrital de Gobierno con el fin de apoyar el cumplimiento dela política pública distrital de atención a la ciudadanía</t>
  </si>
  <si>
    <t>Prestar servicios profesionales para brindar apoyo a la Dirección deContratación de la Secretaría Distrital de Gobierno, en la gestiónprecontractual&lt;(&gt;,&lt;)&gt; contractual y post contractual de la Entidad.</t>
  </si>
  <si>
    <t>PRESTAR SERVICIOS PROFESIONALES PARA ADELANTAR EL PROCESO DE SELECCIÓNDE PERSONAL Y PARA APOYAR LA FORMULACIÓN Y EJECUCIÓN DEL SISTEMA DEVIGILANCIA EPIDEMIOLÓGICA DE FACTORES DE RIESGO PSICOSOCIAL Y PROGRAMASASOCIADOS, ASÍ COMO EL CUMPLIMIENTO DE LOS REQUISITOS DEL SISTEMA DEGESTIÓN DE SEGURIDAD Y SALUD EN EL TRABAJO DE ACUERDO CON LO ESTABLECIDOPOR LA LEGISLACIÓN COLOMBIANA EN MATERIA DE RIESGOS LABORALES EN LA SDG.</t>
  </si>
  <si>
    <t>Prestar los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t>
  </si>
  <si>
    <t>Prestar los servicios profesionales en la dirección de gestión deltalento humano para apoyar la elaboración y liquidación salarios,prestaciones sociales y demás conceptos de la nómina de la SecretariaDistrital de Gobierno</t>
  </si>
  <si>
    <t>PRESTAR LOS SERVICIOS ARTISTICOS PARA LA REALIZACIÓN DE CONTENIDOSAU-DIOVISUALES PARA DIVULGAR LA GESTION DE LA SECRETARIA DISTRITAL DEGOBIERNO</t>
  </si>
  <si>
    <t>Prestar los servicios de apoyo a la gestión fortaleciendo la capacidadoperativa y de gestión administrativa de la Oficina de Control Interno</t>
  </si>
  <si>
    <t>Prestar servicios profesionales en el Despacho de la SecretaríaDistrital de Gobierno para apoyar las buenas relaciones políticas con elConcejo de Bogotá y el Congreso de la República, en especial en materiadel trámite de Acuerdos para la ciudad, Leyes de la República, debatesde control político, y otros procesos político-normativos de interéspara la Administración Distrital</t>
  </si>
  <si>
    <t>Prestar los servicios profesionales en la Dirección de Tecnología eInformación para llevar a cabo la construcción, soporte y mantenimientode las aplicaciones requeridas por la Secretaría Distrital de Gobierno,enmarcadas dentro de las etapas de análisis, diseño, desarrollo eimplementación de sistemas de información, bajo plataforma de desarrolloPHP</t>
  </si>
  <si>
    <t>Prestar los servicios profesionales con el fin de apoyar jurídicamentelos trámites y servicios a cargo del Despacho del Secretarío Distritalde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</si>
  <si>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</si>
  <si>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 gestión y seguimiento de losaplicativos tecnológicos de la dirección jurídica de la SecretaríaDistrital de Gobierno, en los diferentes trámites administrativos y degestión que se requieran.</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</si>
  <si>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</si>
  <si>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en la oficina Asesora de Planeaciónen temas relacionados con la generación de datos para el proceso degestión del conocimiento</t>
  </si>
  <si>
    <t>Prestar los servicios de apoyo a la gestión en la Secretaría Distritalde Gobierno en los asuntos relacionados con las estrategias decomunicaciones desde el Despacho en cumplimiento al manejo efectivo dela información</t>
  </si>
  <si>
    <t>Prestar los servicios de apoyo a la gestión en la Subsecretaria deGestión Institucional, para acompañar la consolidación y trámitespertinentes para la gestión administrativa</t>
  </si>
  <si>
    <t>Prestar servicios profesionales como abogado en la dirección jurídica dela secretaria distrital de gobierno, para representar judicial yextrajudicialmente a la entidad, en los procesos que le sean asignados,así como en las demás actuaciones administrativas que se requieran</t>
  </si>
  <si>
    <t>PRESTAR LOS SERVICIOS PROFESIONALES A LA DIRECCIÓN ADMINISTRATIVA DE LASECRETARIA DISTRITAL DE GOBIERNO EN LOS ASUNTOS JURÍDICOS QUE REQUIERANLOS PROCESOS MISIONALES Y ADMINISTRATIVOS QUE SE ADELANTAN EN LADIRECCIÓN.</t>
  </si>
  <si>
    <t>Prestar los servicios profesionales en la Dirección de Tecnologías eInformación para realizar las actividades de levantamientos y análisisde requerimientos, elaboración de casos de uso, elaboración y ejecuciónde planes de pruebas, entrenamiento, soporte de los aplicativos yservicio.</t>
  </si>
  <si>
    <t>Prestar los servicios de apoyo de logística y protocolo en la SecretaríaDistrital de Gobierno</t>
  </si>
  <si>
    <t>Prestar servicios profesionales para apoyar a la Secretaría de Gobiernoen la divulgación, administración de contenidos de las redes socialespara promover los programas y proyectos de la entidad</t>
  </si>
  <si>
    <t>Prestar los servicios profesionales para apoyar a la Oficina Asesora deComunicaciones en el cubrimiento periodístico, desarrollo de productosaudiovisuales y demás estrategias de comunicación de la Subsecretaría deGestión local de la Secretaría de Gobierno.</t>
  </si>
  <si>
    <t>Prestar los servicios de apoyo a la gestión de la Secretaría Distritalde Gobierno asociado a las actividades de gestión documental y gestiónde información en lo referente a la operación del Sistema DistritalBogotá Solidaria, en lo asociado a las competencias de la SecretaríaDistrital de Gobierno y en la articulación con otras entidades delSistema, así como al apoyo técnico en producción documental que serequiera en cumplimiento de las responsabilidades asignadas.</t>
  </si>
  <si>
    <t>PRESTAR LOS SERVICIOS DE APOYO A LA GESTIÓN EN EL ACOMPAÑAMIENTO YSEGUIMIENTO DE LAS ESTRATEGIAS MISIONALES, DE COMUNICACIONES Y DERELACIONES POLÍTICAS DEL DESPACHO, ENMARCADAS DENTRO DEL MODELO DEGESTIÓN INSTITUCIONAL</t>
  </si>
  <si>
    <t>Prestar los servicios profesionales en la Oficina Asesora deComunicaciones, para apoyar la implementación del plan de comunicacióninterna de la Secretaria Distrital de Gobierno, acompañando laestructuración de planes de acción para su mejoramiento, de acuerdo conlas necesidades de la entidad</t>
  </si>
  <si>
    <t>El contratista se obliga para con la Secretaría Distrital de Gobierno aprestar sus servicios profesionales como abogado en la DirecciónJurídica en todos aquellos asuntos relacionados con el Sistema Único deGestión para el registro, evaluación y autorización de actividades deaglomeración de público en el Distrito Capital, y demás actividadesadministrativas que se requieran</t>
  </si>
  <si>
    <t>PRESTAR SUS SERVICIOS PROFESIONALES PARA APOYAR LOS PROCESOS DE GESTIÓNDEL PATRIMONIO DOCUMENTAL DE LA DIRECCIÓN ADMINISTRATIVA</t>
  </si>
  <si>
    <t>PRESTAR LOS SERVICIOS DE APOYO A LA GESTIÓN EN LA DIRECCIÓNADMINISTRATIVA EN LA IMPLEMENTACIÓN DE LOS PROCESOS DE ORGANIZACIONARCHIVISTICA</t>
  </si>
  <si>
    <t>PRESTAR LOS SERVICIOS PROFESIONALES A LA DIRECCIÓN ADMINISTRATIVA DE LASECRETARÍA DISTRITAL DE GOBIERNO EN EL DIAGNÓSTICO, APOYO TÉCNICO YADMINISTRATIVO EN LO RELACIONADO AL MANTENIMIENTO Y BUEN FUNCIONAMIENTODE LA INFRAESTRUCTURA DE LOS PREDIOS DE PROPIEDAD DE LA ENTIDAD.</t>
  </si>
  <si>
    <t>Prestar los servicios profesionales a la Dirección de Gestión delTalento Humano con el fin de atender procesos relacionados seleccionadoscon el manejo del talento humano</t>
  </si>
  <si>
    <t>Prestar los servicios de apoyo como auxiliar en la dirección jurídica dela secretaría distrital de gobierno, en todas las gestionesadministrativas 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</si>
  <si>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</si>
  <si>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profesionales en relación con temas derepresentación judicial, extrajudicial y especialmente en lasustanciación, acompañamiento y revisión de los procesos disciplinariosque se remitan a la Dirección Jurídica.</t>
  </si>
  <si>
    <t>Prestar servicios profesionales como abogado en la dirección jurídica entodos aquellos asuntos relacionados con la representación judicial,especialmente en el trámite de las acciones constitucionales queimpetran los ciudadanos y en las que se encuentre vinculada la entidad,así como la proyección de actos administrativos que surjan dentro delmarco de competencia de la dependencia donde se encuentra asignada</t>
  </si>
  <si>
    <t>PRESTAR LOS SERVICIOS TÉCNICOS EN LA DIRECCIÓN DE GESTIÓN DEL TALENTOHUMANO PARA APOYAR EL PROCESO DE NÓMINA, LA DETERMINACIÓN Y DEPURACIÓNDE LA DEUDA PRESUNTA Y REAL REPORTADA POR LOS DIFERENTES FONDOS DEPENSIONES PRIVADOS Y PÚBLICO Y EL PROCESO DE RECOBRO DE INCAPACIDADES DELA SECRETARIA DISTRITAL DE GOBIERNO.</t>
  </si>
  <si>
    <t>Prestar servicios profesionales para apoyar la formulación y ejecuciónde las actividades de Fortalecimiento del clima y la culturaorganizacional, así como apoyar el desarrollo de las accionescontempladas en el plan de Bienestar dirigido a servidores públicos ycontratistas de la Secretaría Distrital de Gobierno</t>
  </si>
  <si>
    <t>Prestar los servicios profesionales con el fin de apoyar los trámites yservicios a cargo del Despacho del Secretario Distrital de Gobierno</t>
  </si>
  <si>
    <t>Prestar los Servicios Profesionales en la Dirección Jurídica de laSecretaría Distrital de Gobierno, con el fin de acompañar y orientar lostrámites requeridos para dar respuesta a las solicitudes relacionadascon la autorización de aglomeraciones de público en el Distrito Capital</t>
  </si>
  <si>
    <t>PRESTAR SUS SERVICIOS PROFESIONALES ESPECIALIZADOS PARA APOYAR A LAOFICINA DE ASUNTOS DISCIPLINARIOS DE LA SECRETARIA DISTRITAL DEGOBIERNO, EN LA REVISIÓN, ORIENTACIÓN, DIAGNOSTICO, FORTALECIMIENTOPROCESAL, SUSTANTIVO Y JURISPRUDENCIAL EN LOS PROCESOS DE PRIMERAINSTANCIA QUE SE ADELANTAN EN LA DEPENDENCIA</t>
  </si>
  <si>
    <t>PRESTAR LOS SERVICIOS PROFESIONALES PARA APOYAR A LA OFICINA DE ASUNTOSDISCIPLINARIOS DE LA SECRETARÍA DISTRITAL DE GOBIERNO, EN MATERIADISCIPLINARIA Y EN GENERAL EN TODOS LOS ASUNTOS QUE TENGA QUE VER CON ELMANEJO LEGAL CORRESPONDIENTE A LA DEPENDENCIA.</t>
  </si>
  <si>
    <t>PRESTAR SUS SERVICIOS PROFESIONALES PARA APOYAR A LA OFICINA DE ASUNTOSDISCIPLINARIOS DE LA SECRETARIA DISTRITAL DE GOBIERNO, EN LA REVISIÓN,ORIENTACIÓN, DIAGNOSTICO, FORTALECIMIENTO PROCESAL, SUSTANTIVO YJURISPRUDENCIAL EN LOS PROCESOS DE PRIMERA INSTANCIA QUE SE ADELANTAN ENLA DEPENDENCIA</t>
  </si>
  <si>
    <t>PRESTAR SUS SERVICIOS PROFESIONALES PARA APOYAR A LA OFICINA DE ASUNTOSDISCIPLINARIOS DE LA SECRETARIA DISTRITALDE GOBIERNO, EN LA REVISIÓN,ORIENTACIÓN, DIAGNOSTICO, FORTALECIMIENTO PROCESAL, SUSTANTIVO YJURISPRUDENCIAL EN LOS PROCESOS DE PRIMERA INSTANCIA QUE SE ADELANTAN ENLA DEPENDENCIA</t>
  </si>
  <si>
    <t>Prestar los servicios profesionales en la Oficina de AsuntosDisciplinarios de la Secretaria Distrital de Gobierno, en las laboresasignadas al Grupo de Evaluación de Quejas, del Grupo de Expedientes ydel Grupo de Comunicaciones, consolidando la información y elaborandolos respectivos informes</t>
  </si>
  <si>
    <t>PRESTAR LOS SERVICIOS DE APOYO A LA GESTION A LA DIRECCIONADMINISTRATIVA DE LA SECRETARIA DISTRITAL DE GOBIERNO EN LAS ACTIVIDADES RELACIONADAS CON LA ORGANIZACIÓN DEL INVENTARIO DE BIENES DE PROPIEDADDE LA ENTIDAD</t>
  </si>
  <si>
    <t>PRESTAR LOS SERVICIOS DE APOYO EN LA PROYECCIÓN, SEGUIMIENTO Y EJECUCIÓNDE LAS ACTIVIDADES PROPIAS DE LA OFICINA DE ASUNTOS DISCIPLINARIOS.</t>
  </si>
  <si>
    <t>PRESTACIÓN DE SERVICIOS ARTÍSTICOS PARA LA REALIZACIÓN DE PRODUCTOSAUDIOVISUALES ESPECIALIZADOS DE LAS ACTIVIDADES DE RELEVANCIA EN ELDESARROLLO DE LAS FUNCIONES Y PROYECTOS DE LA SECRETARÍA DE GOBIERNO YEN EL DESARROLLO DE ESTRATEGIAS COMUNICATIVAS DIRIGIDAS A LA CIUDADANÍA</t>
  </si>
  <si>
    <t>Prestar sus servicios profesionales para representar judicial yextrajudicialmente a la Entidad y a las Juntas Administradoras Locales,las Alcaldías Locales y los Fondos de Desarrollo Local, en los procesosque le sean asignados, en las actuaciones administrativas que serequieran y apoyar la proyección de actos administrativos de competenciade la Dirección Jurídica</t>
  </si>
  <si>
    <t>Prestar los servicios profesionales con el fin de apoyar los trámites yservicios a cargo del Despacho del Secretarío Distrital de Gobierno</t>
  </si>
  <si>
    <t>Prestar los servicios profesionales especializados para el diseño eimplementación de estrategias de comunicación externa para contribuir alposicionamiento y promoción de los proyectos de la Secretaría Distritalde Gobierno, así como para el manejo de crisis</t>
  </si>
  <si>
    <t>Prestar los servicios profesionales para la grabación y edición decontenidos audiovisuales y sistematización de archivo de piezasaudiovisuales que se requieran en la Secretaría Distrital de Gobierno</t>
  </si>
  <si>
    <t>Prestación de servicios profesionales como abogado para representarjudicial y extrajudicialmente a la entidad, en los procesos que le seanasignados, así como en las demás actuaciones administrativas que serequieran</t>
  </si>
  <si>
    <t>Realizar la consolidación, actualización diaria y control de lainformación derivada de las alcaldías locales y dependencias del nivelcentral de la secretaría distrital de gobierno, que permita realizar unestricto seguimiento a cada uno de los casos covid-19 sospechosos ypositivos que se presenten en la entidad en cumplimiento del numeral 5de la resolución 666 de 2020 y el numeral 6.9 del manual protocolo debio-seguridad de la SDG</t>
  </si>
  <si>
    <t>PRESTAR LOS SERVICIOS ESPECIALIZADOS EN EL FORTALECIMIENTO DE LA GESTIÓNREALIZADA EN EL Marco de Arquitectura Empresarial -MAE definido por elEstado en la Secretaría Distrital de Gobierno</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</si>
  <si>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</si>
  <si>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SERVICIOS PROFESIONALES EN LA DIRECCIÓN ADMINISTRATIVA EN LASACTIVIDADES DE SEGUIMIENTO, MONITOREO Y CONTROL DE LAS FUNCIONES PROPIASDE LA DEPENDENCIA.</t>
  </si>
  <si>
    <t>Prestar los servicios profesionales en la Dirección de Tecnologías eInformación como analista de sistemas para el desarrollo, puesta enproducción y mantenimiento de las soluciones de software basadas entecnologías Java administradas por la Secretaría Distrital de Gobierno</t>
  </si>
  <si>
    <t>PRESTAR LOS SERVICIOS A LA DIRECCIÓN ADMINISTRATIVA DE LA SECRETARÍADISTRITAL DE GOBIERNO EN EL APOYO TÉCNICO Y ADMINISTRATIVO EN LORELACIONADO AL MANTENIMIENTO Y BUEN FUNCIONAMIENTO DE LA INFRAESTRUCTURADE LOS PREDIOS DE PROPIEDAD DE LA ENTIDAD.</t>
  </si>
  <si>
    <t>PRESTAR LOS SERVICIOS DE APOYO A LAS LABORES DE MANTENIMIENTO LOCATIVO,PREVENTIVO Y CORRECTIVO, Y REPARACIONES Y ADECUACIONES QUE SE PRESENTENEN LAS SEDES DEL NIVEL CENTRAL DE LA SECRETARIA DISTRITAL DE GOBIERNO</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</si>
  <si>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Dirección Jurídica</t>
  </si>
  <si>
    <t>Prestar servicios profesionales a la Oficina de Control Interno, paraapoyar la formulación, planificación, ejecución y control del Plan Anualde Auditoría que permiten evaluar la eficiencia, eficacia y efectividaddel Sistema de Control interno en las dependencias que conforman laSecretaría Distrital de Gobierno&lt;(&gt;,&lt;)&gt; así como el seguimiento, controly revisión de las actividades que desarrolla la Oficina</t>
  </si>
  <si>
    <t>PRESTAR LOS SERVICIOS DE APOYO A LAS LABORES DE MANTENIMIENTO LOCATIVO,PREVENTIVO Y CORRECTIVO, Y REPARACIONES Y ADECUACIONES QUE SE PRESENTENEN LAS SEDES DEL NIVEL CENTRAL DE LA SECRETARIA DISTRITAL DE GOBIERNO.</t>
  </si>
  <si>
    <t>PRESTAR SERVICIOS PROFESIONALES EN LA DIRECCION DE CONTRATACION PARAREALIZAR EL REGISTRO Y VERIFICACIÓN DE LA INFORMACIÓN EN LOS DIFERENTESSISTEMAS DE ALMACENAMIENTO DE DATOS RELACIONADOS CON EL PROCESO DEADQUISICIÓN DE BIENES Y SERVICIOS DE LA SECRETARIA DISTRITAL DEGOBIERNO.</t>
  </si>
  <si>
    <t>PRESTAR SERVICIOS PROFESIONALES PARA APOYAR EL PROCESO DE SELECCIÓN YVINCULACIÓN DEL PERSONAL EN LA SDG, SEGÚN LOS REQUERIMIENTOSPROFESIONALES, TECNICOS Y COMPORTAMENTALES DE LAS DISTINTAS AREAS DE LAENTIDAD</t>
  </si>
  <si>
    <t>Prestar los servicios de apoyo a la gestión en el Despacho de laSecretaría Distrital de Gobierno para el Desarrollo de estrategias yactividades de acuerdo a la cultura ciudadana y convivencia</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</si>
  <si>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</si>
  <si>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servicios profesionales a la Oficina de Control Interno, paraapoyar la formulación, planificación, ejecución y control del Plan Anualde Auditoría que permiten evaluar la eficiencia, eficacia y efectividaddel Sistema de Control interno en las dependencias que conforman laSecretaría Distrital de Gobierno&lt;(&gt;,&lt;)&gt; así como el seguimiento, controly revisión de las actividades que desarrolla la Oficina.</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</si>
  <si>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</si>
  <si>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a la Oficina de Control Interno, paraapoyar la planificación, ejecución y control del Plan Anual de Auditoríaque permiten evaluar la eficiencia, eficacia y efectividad del Sistemade Control interno en las dependencias que conforman la SecretaríaDistrital de Gobierno</t>
  </si>
  <si>
    <t>Prestar servicios de apoyo a la gestión de la Secretaría Distrital deGobierno en lo referente al desarrollo de procesos de participaciónciudadana y gestiones misionales entre las dependencias de la Secretaría</t>
  </si>
  <si>
    <t>PRESTAR SERVICIOS PROFESIONALES PARA APOYAR A LA DIRECCIÓN DE GESTIÓN DETALENTO HUMANO EN LOS PROCESOS DE VINCULACIÓN, CAPACITACIÓN Y BIENESTARPARA LOS FUNCIONARIOS DE LA SECRETARÍA DISTRITAL DE GOBIERNO</t>
  </si>
  <si>
    <t>Prestar servicios profesionales en aspectos jurídicos y normativos querequiera la Subsecretaría de Gestión Institucional.</t>
  </si>
  <si>
    <t>Prestar los servicios técnicos en la Oficina Asesora de Comunicacionespara la coordinación en diseño y producción, diagramación de piezasgráficas y nuevos formatos para divulgar la gestión de las dependenciasde la Secretaría Distrital de Gobierno</t>
  </si>
  <si>
    <t>Prestar los servicios profesionales en la Oficina Asesora de Planeaciónen el acompañamiento técnico a la implementación de las herramientas quesoportan la planeación, ejecución y seguimiento de los proyectos deinversión de la Secretaría Distrital de Gobierno</t>
  </si>
  <si>
    <t>Prestar los servicios profesionales en la articulación del despacho dela secretaría Distrital de Gobierno con las dependencias y otrasentidades, así como en el apoyo técnico en producción documental y laimplementación del modelo integrado de planeación y gestióninstitucional en la entidad</t>
  </si>
  <si>
    <t>Prestar los servicios profesionales en la oficina asesora de planeación,como apoyo y líder en el diseño e implementación del Modelo integrado deplaneación y gestión institucional, en cumplimiento de lasresponsabilidades asignadas, con énfasis en la formulación, ejecución,seguimiento y mejora continua de las herramientas que conforman laGestión Ambiental Institucional</t>
  </si>
  <si>
    <t>PRESTAR LOS SERVICIOS PROFESIONALES A LA DIRECCIÓN ADMINISTRATIVA DE LASECRETARIA DISTRITAL DE GOBIERNO EN LOS ASUNTOS JURÍDICOS Y LEGALES QUEREQUIERAN LOS PROCESOS MISIONALES Y ADMINISTRATIVOS QUE SE ADELANTAN ENLA DIRECCIÓN</t>
  </si>
  <si>
    <t>Prestar servicios de apoyo a la gestión a la Subsecretaría de GestiónInstitucional en los puntos de atención a la ciudadanía de la SecretariaDistrital de Gobierno para la implementación de la Política PúblicaDistrital de Atención a la Ciudadanía.</t>
  </si>
  <si>
    <t>Prestar servicios profesionales para la administración de la plataformaAranda y apoyo en actividades de seguimiento a la operación de la mesade servicios</t>
  </si>
  <si>
    <t>PRESTAR LOS SERVICIOS DE APOYO A LA GESTIÓN EN EL DESPACHO DE LASECRETARÍA DISTRITAL DE GOBIERNO EN LA IMPLEMENTACIÓN DE LOS PROCESOS DEORGANIZACIÓN ARCHIVISTICA</t>
  </si>
  <si>
    <t>Prestar los servicios de asesor en la oficina asesora de Planeación enel acompañamiento técnico en la implementación de las herramientas quesoportan la planeación, la ejecución y el seguimiento de los planes,programas y proyectos de la Secretaría Distrital de Gobierno.</t>
  </si>
  <si>
    <t>Prestar los servicios profesionales en la oficina asesora de planeación,como apoyo en el diseño e implementación del Modelo integrado deplaneación y gestión institucional, en cumplimiento de lasresponsabilidades asignadas, con énfasis en la formulación, ejecución,seguimiento y mejora continua de las herramientas que conforman laGestión Ambiental Institucional</t>
  </si>
  <si>
    <t>Prestar los servicios profesionales en la Dirección de Contratación dela Secretaría de Gobierno, para apoyar el desarrollo de las gestiones decarácter contractual y la realización de las actividades administrativasque de estas se deriven</t>
  </si>
  <si>
    <t>Prestar los servicios profesionales en la Dirección Jurídica de laSecretaría Distrital de Gobierno para adelantar las actividadesrelacionadas con el sistema de gestión, cobro persuasivo, representaciónjudicial, extrajudicial y demás actividades administrativas y judicialesque requiera la Dirección Jurídica para el cumplimiento de sumisionalidad.</t>
  </si>
  <si>
    <t>Prestar los servicios profesionales en la Dirección de Tecnologías eInformación apoyando la implementación del sistema de informacióngeográfica y la gestión de la información espacial relacionada con losproyectos de inversión de la Secretaría Distrital de Gobierno</t>
  </si>
  <si>
    <t>Prestar servicios profesionales para hacer seguimiento a las gestionesadministrativas, presupuestales, contables y económicas que, desde elpunto de vista gerencial, que adelante Ia Dirección Financiera de IaSecretaria de Gobierno.</t>
  </si>
  <si>
    <t>Prestar servicios profesionales en aspectos jurídicos y normativos querequiera la Subsecretaría de Gestión Institucional dentro del marco deimplementación del modelo integral de planeación y gestión institucionaly sectorial</t>
  </si>
  <si>
    <t>Prestar los servicios profesionales en la Dirección de Tecnologías eInformación como analista de sistemas para el desarrollo, puesta enproducción y mantenimiento de las soluciones de software basadas entecnologías JavaScript, html y Docker administradas por la SecretaríaDistrital de Gobierno</t>
  </si>
  <si>
    <t>PRESTAR LOS SERVICIOS DE APOYO A LA GESTIÓN EN LA DIRECCIÓNADMINISTRATIVA EN LA IMPLEMENTACION DE LAS HERRAMIENTAS DE GESTIONDOCUMENTAL</t>
  </si>
  <si>
    <t>PRESTAR LOS SERVICIOS PROFESIONALES EN EL TRÁMITE Y SEGUIMIENTO DE LASCUENTAS DE COBRO DE LOS CONTRATISTAS Y PROVEEDORES, ASÍ COMO DE LAMATRIZ GENERADORA DE GASTOS DE COMPETENCIA DE LA DIRECCIÓNADMINISTRATIVA</t>
  </si>
  <si>
    <t>Prestar los servicios profesionales en la oficina asesora de planeaciónen la formulación, implementación, seguimiento y/o evaluación demetodologías y herramientas para la formulación de las políticaspúblicas</t>
  </si>
  <si>
    <t>Prestar los servicios profesionales en la oficina asesora de planeaciónen la formulación, implementación, seguimiento y/o evaluación demetodologías y herramientas para la formulación de las políticaspúblicas.</t>
  </si>
  <si>
    <t>Prestar los servicios profesionales en la Oficina Asesora de Planeación,para coordinar el fortalecimiento y la consolidación de la política MIPGde Gestión del Conocimiento y la Innovación en la Secretaría Distritalde Gobierno.</t>
  </si>
  <si>
    <t>Prestar los servicios profesionales en el acompañamiento y desarrollotécnico a la implementación de las herramientas y procedimientos quesoportan la planeación, ejecución y seguimiento de los planes, programasy proyectos de la Secretaría Distrital de Gobierno</t>
  </si>
  <si>
    <t>Prestar los servicios profesionales en la Dirección de Tecnologías eInformación para realizar las actividades administración, optimización ysoporte en la plataforma BPM Bizagi en todos sus ambientes</t>
  </si>
  <si>
    <t>Prestar servicios profesionales para apoyar la implementación del Marcode Arquitectura Empresarial - MAE definido por el Estado en laSecretaría Distrital de Gobierno</t>
  </si>
  <si>
    <t>Prestar los servicios de apoyo a la gestión en el Despacho de laSecretaría Distrital de Gobierno, para acompañar la consolidación ytrámites pertinentes para el fortalecimiento de la gestiónadministrativa</t>
  </si>
  <si>
    <t>Prestar los servicios profesionales en el fortalecimiento de lasgestiones de carácter administrativo y contractual de la secretaríadistrital de gobierno en el marco del modelo integrado de planeación ygestión institucional y sectorial</t>
  </si>
  <si>
    <t>Prestar los servicios profesionales como coordinador operativo de laOficina Asesora de Comunicaciones e implementación de nuevos productosperiodísticos</t>
  </si>
  <si>
    <t>Prestar servicios profesionales a la Dirección de Tecnologías eInformación de la Secretaría Distrital de Gobierno para gestionar yajustar el Sistema de Información Georreferenciada (SIG) de la Entidad yde las soluciones empresariales requeridas sobre aplicaciones ArcGisOnline, ArcGis Enterprise u otras soluciones de la plataforma SIG</t>
  </si>
  <si>
    <t>Prestar los servicios profesionales a la Dirección de Tecnologías eInformación para el desarrollo, mantenimiento, fortalecimiento eimplementación de portales y micrositios web de la entidad</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</si>
  <si>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</si>
  <si>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en la Oficina Asesora de Planeaciónen el acompañamiento y liderazgo técnico en la implementación de loslineamientos y herramientas orientadas al cumplimiento de las diferentesfases del ciclo de política pública.</t>
  </si>
  <si>
    <t>Prestar los Servicios Profesionales de abogado en la Dirección Jurídicade la Secretaría Distrital de Gobierno, con el fin de acompañar yorientar los trámites requeridos y relacionados con las aglomeracionesde público en el Distrito Capital así como con las demás actuacionesadministrativas y judiciales de competencia de la Dirección Jurídica</t>
  </si>
  <si>
    <t>Prestar servicios profesionales para brindar apoyo a la Dirección deContratación de la Secretaría Distrital de Gobierno, en la gestiónprecontractual&lt;(&gt;,&lt;)&gt; contractual y post contractual de la Entidad</t>
  </si>
  <si>
    <t>Prestar servicios profesionales para el apoyo en la implementación de laseguridad de la información y la seguridad digital realizando lasactividades relacionadas al mejoramiento en la implementación del modelode seguridad y privacidad de la información - MSPI, bajo el Marco deReferencia de Arquitectura TI, el Modelo Integrado de Planeación yGestión (MIPG), la Guía para la Administración del Riesgo y el diseñocontroles en entidades públicas.</t>
  </si>
  <si>
    <t>Prestar servicios profesionales especializados para llevar a cabo larevisión jurídica de los asuntos que se tramitan en la Dirección deContratación de la Secretaría de Gobierno</t>
  </si>
  <si>
    <t>YULIET STEFFANIA RODRIGUEZ CABEZAS</t>
  </si>
  <si>
    <t>LUISA FERNANDA TIRADO LEON</t>
  </si>
  <si>
    <t>CAMILO ANDRES TORRES TOVAR</t>
  </si>
  <si>
    <t>Prestar servicios profesionales especializados para asesorar a laSubsecretaria de Gestión Local en el seguimiento a la implementación delmodelo de gestión transparente en articulación con el Sistema de GestiónLocal establecido para el fortalecimiento de las alcaldías locales</t>
  </si>
  <si>
    <t>Prestar servicios profesionales en la en la Subsecretaría de GestiónLocal para el fortalecimiento de las alcaldías locales a través delapoyo en la formulación y seguimiento de herramientas de políticapública en especial las relacionadas con asuntos policivos</t>
  </si>
  <si>
    <t>Prestar servicios profesionales especializados en la Subsecretaría deGestión Local para la asesoría y el acompañamiento jurídico requeridosen la implementación del Sistema de Gestión Local, orientados por losObjetivos de Desarrollo Sostenible relacionados con la configuración deun nuevo marco de gobernanza pública y gobernabilidad democrática.</t>
  </si>
  <si>
    <t>Prestar servicios profesionales especializados en la Subsecretaría deGestión Local para la asesoría y el acompañamiento jurídico requeridosen el cumplimiento de la misionalidad de la dependencia, en especial losrelacionados con el Sistema de Gestión Local.</t>
  </si>
  <si>
    <t>Prestar los servicios profesionales especializados a la SecretaríaDistrital de Gobierno, apoyando el seguimiento estratégico de lasactividades, planes y programas y demás estrategias que se adelantendesde del Despacho del Secretario de Gobierno enmarcadas en el modelo deGestión Transparente&lt;(&gt;,&lt;)&gt; Incluyente y Participativo Local</t>
  </si>
  <si>
    <t>Prestación de servicios profesionales a la Subsecretaria de GestiónLocal para la implementación del Sistema de Gestión Local</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</si>
  <si>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</si>
  <si>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servicios profesionales especializados en la Subsecretaría deGestión Local para el acompañamiento jurídico para la implementación delmodelo de gestión transparente, incluyente, participativo y colaborativolocal</t>
  </si>
  <si>
    <t>Prestar los servicios profesionales especializados a la Dirección parala Gestión del Desarrollo Local, en materia de desarrollo jurídico yplaneación, dirigido a los Fondos de Desarrollo Local FDL.</t>
  </si>
  <si>
    <t>Prestar servicios para la ejecución de procesos operativos a laDirección para la Gestión del Desarrollo Local DGDL, que se le asignen através de la aplicación de las normas encaminadas a brindar un óptimoservicio al cliente interno y externo</t>
  </si>
  <si>
    <t>Prestar servicios profesionales en la Subsecretaría de Gestión Local enel marco de la implementación de la estrategia de intervención yseguimiento en las alcaldías locales</t>
  </si>
  <si>
    <t>Prestar los servicios de apoyo técnico que se requieran y derivadas dela ejecución de los proyectos estratégicos de la Subsecretaría deGestión Local</t>
  </si>
  <si>
    <t>Prestar los servicios profesionales especializados a la Dirección parala Gestión del Desarrollo Local, desarrollo jurídico de los procesoscontractuales dirigido a los Fondos de Desarrollo Local FDL</t>
  </si>
  <si>
    <t>Prestar los servicios profesionales como apoyo para el desarrollo de losproyectos estratégicos de la Subsecretaría de Gestión Local</t>
  </si>
  <si>
    <t>Prestar servicios profesionales en la Subsecretaría de Gestión Localpara el acompañamiento jurídico para la respuesta de peticionesciudadanas, de corporaciones públicas y demás que se requieran</t>
  </si>
  <si>
    <t>Prestar servicios profesionales en la Subsecretaria de Gestión Localapoyando la coordinación del seguimiento y cumplimiento de losProgramas, planes y/o proyectos en ejercicio de la coordinación de lasalcaldías locales, asignada a la Secretaria Distrital de Gobierno en elmarco de Bogotá Solidaria en Casa</t>
  </si>
  <si>
    <t>Prestar servicios profesionales en la Subsecretaría de Gestión Localpara el acompañamiento jurídico para la implementación del modelo degestión transparente, incluyente, participativo y colaborativo local</t>
  </si>
  <si>
    <t>Prestar servicios profesionales en la Subsecretaría de Gestión Local enel marco de la implementación de estrategia de intervención yseguimiento en las alcaldías locales, especialmente en lo relacionadocon el desarrollo de los Consejos locales de Gobierno</t>
  </si>
  <si>
    <t>Prestar los servicios profesionales en la Dirección para la Gestión delDesarrollo Local, apoyando técnicamente el seguimiento a la InversiónLocal de los Fondos de Desarrollo Local - FDL.</t>
  </si>
  <si>
    <t>Prestar los servicios profesionales a la Dirección para la Gestión delDesarrollo Local para el acompañamiento técnico en la definición,elaboración e implementación de la oferta de programas de la Estrategiade Mitigación y Reactivación Económica Local</t>
  </si>
  <si>
    <t>Prestar los servicios profesionales en la Dirección para la Gestión delDesarrollo Local, apoyando técnicamente la asistencia técnica yseguimiento a la Inversión Local de los Fondos de Desarrollo Local FDL</t>
  </si>
  <si>
    <t>Prestar los servicios profesionales en la Dirección para la Gestión delDesarrollo Local, apoyando técnicamente el seguimiento a la InversiónLocal de los Fondos de Desarrollo Local FDL</t>
  </si>
  <si>
    <t>Prestar los servicios profesionales para brindar asistencia jurídica ala Dirección para la Gestión del Desarrollo Local en el fortalecimientoinstitucional de la dependencia y de los FDL.</t>
  </si>
  <si>
    <t>Prestar los servicios profesionales a la Dirección para la Gestión delDesarrollo Local, en la elaboración, implementación y seguimiento deacciones de participación y gobernanza en las Alcaldías Locales</t>
  </si>
  <si>
    <t>Prestar los servicios profesionales para brindar asistencia técnica a laDirección para la Gestión del Desarrollo Local - FDL en los temasrelacionados con el fortalecimiento de la capacidad institucional de losFondos de Desarrollo Local - Alcaldías Locales</t>
  </si>
  <si>
    <t>Prestar los servicios profesionales a la Dirección para la Gestión delDesarrollo Local en la formulación y seguimiento a la ejecución de losProgramas y proyectos locales relacionados con la Reactivación EconómicaDistrital.</t>
  </si>
  <si>
    <t>Prestar los servicios profesionales en la Dirección para la Gestión delDesarrollo Local, apoyando jurídicamente las actividades de asistenciatécnica en la ejecución de los proyectos de inversión local queadelantan los Fondos de Desarrollo Local FDL</t>
  </si>
  <si>
    <t>Prestar los servicios asistenciales en la Dirección para la Gestión delDesarrollo Local apoyando los procesos que impacten y mejoren la gestiónde los Fondos de Desarrollo Local FDL</t>
  </si>
  <si>
    <t>Prestar servicios profesionales para apoyar el desarrollo de lasactividades a cargo de la Dirección para la Gestión del Desarrollo Local</t>
  </si>
  <si>
    <t>Prestar los servicios profesionales a la Dirección para la Gestión delDesarrollo Local en el seguimiento a los proyectos de inversión local delos Fondos de Desarrollo Local.</t>
  </si>
  <si>
    <t>Prestar los servicios profesionales a la Dirección para la Gestión delDesarrollo Local para el acompañamiento técnico en la definición,elaboración e implementación de la oferta de programas culturales,innovación e industrias creativas en el marco de la Estrategia deMitigación y Reactivación Económica Local.</t>
  </si>
  <si>
    <t>Prestar los servicios profesionales en la Dirección para la Gestión delDesarrollo Local, apoyando jurídicamente las actividades de asistenciatécnica de los proyectos de inversión local que adelantan los Fondos deDesarrollo Local - FDL</t>
  </si>
  <si>
    <t>Prestar los servicios de apoyo a la gestión en la Dirección para laGestión del Desarrollo Local en las etapas de los proyectos de inversiónpública dirigida a los Fondos de Desarrollo Local - FDL</t>
  </si>
  <si>
    <t>Prestar los servicios profesionales en la Dirección para la Gestión delDesarrollo Local, apoyando técnicamente el seguimiento a la InversiónLocal de los Fondos de Desarrollo Local FDL.</t>
  </si>
  <si>
    <t>Prestar los servicios profesionales en la Dirección para la Gestión delDesarrollo Local, asistencia técnica dirigida a los Fondos de DesarrolloLocal FDL&lt;(&gt;,&lt;)&gt; en materia de desarrollo jurídico contractual de losproyectos de inversión local</t>
  </si>
  <si>
    <t>Prestar los servicios profesionales en la Dirección para la Gestión delDesarrollo Local, apoyando jurídicamente actividades de asistenciatécnica en la ejecución de los proyectos de inversión local queadelantan los Fondos de Desarrollo Local - FDL.</t>
  </si>
  <si>
    <t>Prestar los servicios profesionales a la Dirección para la Gestión delDesarrollo Local para apoyar el proceso de asistencia técnica integral yla orientación en el desarrollo de los Planes de Desarrollo Localenfocados en el fortalecimiento en materia ambiental, sostenibilidad yreactivación económica.</t>
  </si>
  <si>
    <t>Prestar los servicios profesionales en la Dirección para la Gestión delDesarrollo Local, para gestar asistencia técnica dirigida a los Fondosde Desarrollo Local FDL, en materia de desarrollo jurídico contractualde los proyectos de inversión local</t>
  </si>
  <si>
    <t>Prestar los servicios profesionales a la Dirección para la Gestión delDesarrollo local - FDL en los temas relacionados con el fortalecimientode la capacidad institucional de los Fondos de Desarrollo Local -Alcaldías Locales</t>
  </si>
  <si>
    <t>Prestar los servicios profesionales en la Dirección para la Gestión delDesarrollo Local apoyando técnicamente a las actividades de asistenciatécnica en la ejecución de los proyectos de inversión local y en lagestión y seguimiento al cumplimiento de la ejecución de los giros y lasobligaciones por pagar a cargo de los Fondos de Desarrollo Local - FDL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</si>
  <si>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</si>
  <si>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técnicamente el seguimiento a la InversiónLocal de los Fondos de Desarrollo Local - FDL</t>
  </si>
  <si>
    <t>Prestar los servicios profesionales en la Dirección para la Gestión delDesarrollo Local apoyando los procesos que impacten y mejoren la gestiónde los Fondos de Desarrollo Local FDL</t>
  </si>
  <si>
    <t>Prestar servicios profesionales especializados en la Subsecretaría deGestión Local para la implementación de la estrategia de atención yacompañamiento a autoridades y corporaciones públicas para elfortalecimiento de la gestión local</t>
  </si>
  <si>
    <t>Prestar los servicios profesionales especializados a la Dirección parala Gestión del Desarrollo Local, en la elaboración, ejecución yseguimiento de acciones relacionadas con la partición y gobernanza enlas Alcaldías Locales.</t>
  </si>
  <si>
    <t>Prestar servicios profesionales especializados en la Subsecretaría deGestión Local apoyando jurídicamente el seguimiento y cumplimiento delos Programas, planes y/o proyectos en ejercicio de la coordinación delas alcaldías locales, asignada a la Secretaria Distrital de Gobierno enel marco del artículo 6 del Decreto 113 de 2020</t>
  </si>
  <si>
    <t>Prestar servicios profesionales en la Subsecretaría de Gestión Localpara la implementación de la estrategia de atención y acompañamiento aautoridades y corporaciones públicas para el fortalecimiento de lagestión local</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</si>
  <si>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</si>
  <si>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Pago de servicios públicos de los inmuebles en donde se encuentran losespacios de atención diferenciada CONFIA y Casa Indígena</t>
  </si>
  <si>
    <t>PRESTAR SERVICIOS DE APOYO A LA GESTIÓN TECNICA REQUERIDA PARA LAFORMULACIÓN DEL PLAN DE VIDA DEL CABILDO INDÍGENA MUISCA DE BOSA,CONCERTADO EN EL PROCESO DE CONSULTA PREVIA DEL PLAN PARCIAL EL EDEN ELDESCANSO</t>
  </si>
  <si>
    <t>Prestar servicios profesionales a la Secretaría de Gobierno para eldesarrollo de las funciones de la Secretaría Técnica Distrital deDiscapacidad y brindar asesoría técnica para el adecuado funcionamientodel Sistema Distrital de Discapacidad.</t>
  </si>
  <si>
    <t>PRESTAR SERVICIOS PROFESIONALES EN LA SUBDIRECCIÓN DE ASUNTOS ÉTNICOS ENTEMAS RELACIONADOS CON LA POBLACION NEGRA, AFROCOLOMBIANA, RAIZAL YPALENQUERA EN EL SEGUIMIENTO A LA IMPLEMENTACIÓN DE LOS PLANES DEACCIONES AFIRMATIVAS PARA GRUPOS ÉTNICOS Y GESTIÓN INTERINSTITUCIONAL DELOS MISMOS EN CONCERTACIÓN CON LAS POBLACIONES ÉTNICAS</t>
  </si>
  <si>
    <t>PRESTAR SERVICIOS PROFESIONALES PARA LA PROMOCIÓN DE LA SANA CONVIVENCIAEN EL FÚTBOL DENTRO Y FUERA DEL ESTADIO ATRAVÉS DEL PROGRAMA DE BARRISMOSOCIAL, ASISTIR LOS TEMAS RELACIONADOS CON LA CONVIVENCIA, DIALOGOSOCIAL Y PROTESTAS.</t>
  </si>
  <si>
    <t>PRESTAR SERVICIOS PROFESIONALES PARA LA PROMOCIÓN DE LA SANA CONVIVENCIAEN EL FÚTBOL DENTRO Y FUERA DEL ESTADIO A TRAVÉS DEL PROGRAMA DEBARRISMO SOCIAL, ASISTIR LOS TEMAS RELACIONADOS CON LA CONVIVENCIA,DIALOGO SOCIAL Y PROTESTAS</t>
  </si>
  <si>
    <t>PRESTAR LOS SERVICIOS DE SOPORTE A LA GESTIÓN PARA BRINDARACOMPAÑAMIENTO A LAS ACCIONES DE IMPLEMENTACIÓN DEL LABORATORIO DEINNOVACIÓN SOCIAL EN ARTICULACIÓN CON LAS POLÍTICAS PÚBLICAS A CARGO DELSECTOR</t>
  </si>
  <si>
    <t>Prestar los servicios profesionales para la consolidación de documentosde estudio y reportes relacionados con el seguimiento periódico a lassesiones delas comisiones realizadas por el Concejo de Bogotá, deconformidad con las metas establecidas en el Proyecto de Inversión 7799y las determinadas en el Plan Distrital de Desarrollo.</t>
  </si>
  <si>
    <t>Prestar los servicios de apoyo a la gestión en la Dirección deRelaciones Políticas para las actividades administrativas y operativas,en el marco del cargue de información y manejo del sistema de gestióndocumental que se realizan con los actores políticos, en el marco delfortalecimiento de las relaciones de la Administración Distrital con lascorporaciones de elección popular y los temas relacionados con elObservatorio de Asuntos Políticos</t>
  </si>
  <si>
    <t>Prestar los servicios de apoyo a la gestión en la Dirección deRelaciones Políticas para las actividades administrativas y operativas,en el marco del seguimiento a las relaciones con los actores relevantespara la formulación de estrategias de concertación con los tomadores dedecisiones.</t>
  </si>
  <si>
    <t>Prestar los servicios profesionales para apoyar la realización, elseguimiento, acompañamiento y trámite de las mesas de conflictividades,de acuerdo con la convocatoria y/o citación que presenten los concejalesde Bogotá y los congresistas de la República, de acuerdo con loslineamientos que sobre esta materia le imparta el Supervisor y las metasestablecidas en el Proyecto de Inversión 7799.</t>
  </si>
  <si>
    <t>Prestar los servicios profesionales para realizar el análisisestratégico de todas las actividades relacionadas con control político,en especial el trámite y seguimiento a las proposiciones y debates querealice el Concejo de Bogotá, D.C., de acuerdo con lo establecido en lanormatividad vigente.</t>
  </si>
  <si>
    <t>Prestar los servicios profesionales para atender los asuntosrelacionados con la gestión normativa que adelante el Concejo de Bogotá,de conformidad con la normatividad vigente y los procedimientos quetiene adoptados la Dirección de Relaciones Políticas</t>
  </si>
  <si>
    <t>Prestar los servicios profesionales para el fortalecimiento de lasrelaciones de la Administración Distrital con las Juntas AdministradorasLocales, de acuerdo con los lineamientos y directrices que le determinela Dirección de Relaciones Políticas</t>
  </si>
  <si>
    <t>Prestar los servicios profesionales para el deseño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</si>
  <si>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</si>
  <si>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atender y gestionar los asuntosrelacionados con el Congreso de la República, de conformidad con lanormatividad vigente y los lineamientos que sobre esta materia esténreglamentados en la Dirección de Relaciones Políticas.</t>
  </si>
  <si>
    <t>Prestar los servicios profesionales para atender los asuntosrelacionados con la gestión de los asuntos normativos que adelante elConcejo de Bogotá, de conformidad con la normatividad vigente y loslineamientos que sobre esta materia estén reglamentados en la SecretaríaDistrital de Gobierno.</t>
  </si>
  <si>
    <t>Prestar los servicios profesionales para realizar las actividadesinherentes a los planes de acción y la consolidación de informes,documentos y estudios delas relaciones de la Administración Distritalcon las Juntas Administradoras Locales, de acuerdo con los lineamientosque tenga adoptados el Observatorio de Asuntos Políticos, las metas delPlan Distrital de Desarrollo y del Proyecto de Inversión 7799.</t>
  </si>
  <si>
    <t>Prestar los servicios profesionales para realizar los documentos deanálisis e informes del desarrollo de las líneas de investigación quetenga adoptadas el Observatorio de Asuntos Políticos, de acuerdo con loslineamientos que sobre esta materia le imparta el Supervisor delContrato.</t>
  </si>
  <si>
    <t>Prestar los servicios profesionales para la formulación de acciones,estrategias o actividades encaminadas a atender los asuntos normativos,en especial los temas relacionados con el seguimiento a los Acuerdos dela ciudad, de conformidad con los lineamientos y directrices que sobrela materia le imparta el Director de Relaciones Políticas.</t>
  </si>
  <si>
    <t>PRESTAR LOS SERVICIOS DE APOYO A LA DIRECCIÓN ADMINISTRATIVA EN LAIMPLEMENTACIÓN DE LOS PROCESOS DE ORGANIZACION ARCHIVISTICA</t>
  </si>
  <si>
    <t>Prestar los servicios de apoyo a la gestión en el fortalecimiento de lasdiferentes acciones y tramites que requiera la Dirección de Contrataciónde la Secretaría Distrital de Gobierno</t>
  </si>
  <si>
    <t>Prestar servicios profesionales a la Subsecretaria de Gestión Local parala elaboración del modelo de gestión local de gestión transparente,incluyente&lt;(&gt;,&lt;)&gt; participativo y colaborativo local.</t>
  </si>
  <si>
    <t>Prestar los servicios profesionales a la Dirección para la Gestión delDesarrollo Local, en el seguimiento a la Inversión Local de los Fondosde Desarrollo Local FDL</t>
  </si>
  <si>
    <t>Prestación de servicios profesionales especializados a la Dirección parala Gestión del desarrollo Local en el apoyo técnico al desarrollo yplaneación delos proyectos de inversión en el marco de asistenciatécnica integral dirigida a los Fondos de Desarrollo Local FDL</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</si>
  <si>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</si>
  <si>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A LA DIRECCIÓN DE DERECHOS HUMANOS PARAFORTALECER LA COORDINACIÓN DE LA TERRITORIALIZACIÓN DEL SISTEMADISTRITAL DE DERECHOS HUMANOS Y LA POLÍTICA PÚBLICA INTEGRAL DE DERECHOSHUMANOS EN LAS LOCALIDADES DE BOGOTÁ D.C</t>
  </si>
  <si>
    <t>Pago de servicios públicos de los inmuebles en donde se encuentran losespacios de atención diferenciada CONFIA y Casa Indígena.PAGO DEL SERVICIO DE ENERGÍA DE LA CASA DEL PENSAMIENTO INDIGENA,UBICADA EN LA CALLE 9 No. 9 - 60, PERIODO FACTURADO DEL 21 DE DICIEMBREDE 2020 AL 22 DE ENERO DE 2021, SEGÚN FACTURAS.FACTURA No.                       VALOR622295830-6                        36.150622295825-7                        12.280622295833-8                        15.030</t>
  </si>
  <si>
    <t>Pago de servicios públicos de los inmuebles en donde se encuentran losespacios de atención diferenciada CONFIA y Casa Indígena.Pago del servicio de aseo de la casa del pensamiento indígena, ubicadaen la calle 9 No. 9-60, periodo facturado 28 de noviembre al 27 dediciembre de 2020, de acuerdo con las siguientes facturas:FACTURA               VALOR622295830             44.630622295821             44.630622295822             44.630622295823             44.630622295824             44.630622295825             44.630622295826             44.630622295827             44.630622295833             44.630622295828             44.630</t>
  </si>
  <si>
    <t>Pago de servicios públicos de los inmuebles en donde se encuentran losespacios de atención diferenciada CONFIA y Casa Indígena.Pago del servicio de energía de Confía Suba, ubicado en la Dg 115 A No.70D 95 In 2 LC 10, periodo facturado 14 de diciembre de 2020 al 15 deenero de 2021, según factura No. 621225049-3.</t>
  </si>
  <si>
    <t>Pago de servicios públicos de los inmuebles en donde se encuentran losespacios de atención diferenciada CONFIA y Casa IndígenaPAGO DEL SERVICIO DE ASEO DE CONFIA SUBA, UBICADO EN LA DG 115 A NO. 70D -95 IN 2 LC 10, PERIODO FACTURADO 20 DE NOVIEMBRE AL 19 DE DICIEMBREDE 2020, SEGÚN FACTURA No. 621225049.</t>
  </si>
  <si>
    <t>Pago de servicios públicos de los inmuebles en donde se encuentran losespacios de atención diferenciada CONFIA y Casa Indígena.PAGO DEL SERVICIO DE ENERGÍA DE CONFIA, UBICADO EN LA CALLE 9 No. 4-70,PERIODO FACTURADO DEL 28 DE DICIEMBRE AL 26 DE ENERO DE 2021; SEGÚNFACTURA No. 622816165-0.</t>
  </si>
  <si>
    <t>Pago de servicios públicos de los inmuebles en donde se encuentran losespacios de atención diferenciada CONFIA y Casa Indígena.PAGO DEL SERVICIO DE ASEO DE CONFIA, UBICADO EN LA CALLE 9 No. 4-70,PERIODO FACTURADO 02 DE DICIEMBRE DE 2020 AL 01/01/2021, SEGÚN FACTURANo. 622816165.</t>
  </si>
  <si>
    <t>Prestar apoyo profesional a la Secretaría Técnica Distrital deDiscapacidad en el desarrollo de actividades administrativas yoperativas para el adecuado funcionamiento de las instancias del SistemaDistrital de Discapacidad así como para la reformulación de la PolíticaPública Distrital de Discapacidad</t>
  </si>
  <si>
    <t>PRESTAR SERVICIOS DE APOYO TÉCNICO EN EL MARCO DEL PROCESO SERVICIO A LACIUDADANÍA, DANDO CUMPLIMIENTO A LA POLÍTICA PÚBLICA DISTRITAL DESERVICIO A LA CIUDADANÍA Y AL MODELO INTEGRADO DE PLANEACIÓN Y GESTIÓN -MIPG, EN LOS PUNTOS Y CANALES DE ATENCIÓN HABILITADOS POR LA SDA.</t>
  </si>
  <si>
    <t>Prestar servicios profesionales en la dirección de Derechos Humanos paragarantizar el trabajo social de la implementación de la estrategia deprevención de vulneraciones a los derechos a la vida, libertad,integridad y seguridad de personas LGBTI, víctimas del delito de tratade personas, líderes, lideresas&lt;(&gt;,&lt;)&gt; defensores y defensoras dederechos humanos, que demanden medidas de prevención y protección</t>
  </si>
  <si>
    <t>PRESTAR SERVICIOS PROFESIONALES EN LA DIRECCIÓN DE DERECHOS HUMANOS PARALA ATENCIÓN DE CASOS RELACIONADOS CON PRESUNTO ABUSO DE AUTORIDAD Y/O DEFUERZA</t>
  </si>
  <si>
    <t>PRESTAR SERVICIOS PROFESIONALES EN LA SUBDIRECCIÓN DE ASUNTOS ÉTNICOSPARA EL SEGUIMIENTO A LOS PLANES DE ACCIONES AFIRMATIVAS PARA GRUPOSÉTNICOS Y APOYO A LA GESTIÓN TÉCNICA DE LAS POLÍTICAS PÚBLICASRELACIONADAS CON ASUNTOS ÉTNICOS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</si>
  <si>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 LÍDERES, LIDERESAS, DEFENSORES Y DEFENSORAS DEDERECHOS 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</si>
  <si>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</si>
  <si>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LIDERES, LIDERESAS, DEFENSORES Y DEFENSORAS DEDERECHOS HUMANOS QUE DEMANDEN MEDIDAS DE PREVENCIÓN O PROTECCIÓN</t>
  </si>
  <si>
    <t>PRESTAR LOS SERVICIOS DE SOPORTE A LA GESTIÓN EN LA DIRECCIÓN DEDERECHOS HUMANO PARA REALIZAR LA RECOLECCIÓN&lt;(&gt;,&lt;)&gt; PROCESAMIENTO,ANALISIS Y SEGUIMIENTO A LAS MEDIDAS DE ASISTENCIA BRINDADAS EN ELCOMPONENTE DE LAS RUTAS DE PROMOCIÓN, PREVENCIÓN, ATENCIÓN Y PROTECCIÓNA LOS DERECHOS A LA VIDA, LIBERTAD, INTEGRIDAD Y SEGURIDAD DE PERSONAS YGRUPOS DE ESPECIAL VULNERABILIDAD, ASÍ COMO EL SEGUIMIENTO DE GESTIÓNQUE SE REQUIERA ASOCIADAS A LAS ACCIONES ESTRATEGICAS DE LA DIRECCIÓN</t>
  </si>
  <si>
    <t>PRESTAR SERVICIOS PROFESIONALES EN LA SUBDIRECCIÓN DE ASUNTOS ÉTNICOSPARA LA GESTIÓN TÉCNICA REQUERIDA PARA LA FORMULACIÓN DEL PLAN DE VIDADEL CABILDO INDÍGENA MHUYSQA DE BOSA CONCERTADO EN EL PROCESO DECONSULTA PREVIA DEL PLAN PARCIAL EL EDÉN EL DESCANSO</t>
  </si>
  <si>
    <t>Prestar servicios profesionales de educación comunitaria con énfasiscultural y territorial, en el marco del Programa Distrital de Educaciónen Derechos Humanos para la Paz y la Reconciliación de la Dirección deDerechos Humanos</t>
  </si>
  <si>
    <t>Pago de servicios públicos de los inmuebles en donde se encuentran losespacios de atención diferenciada CONFIA y Casa IndígenaPago del servicio de energía de CONFIA  SAN CRISTOBAL, ubicado en lacarrera 3 No. 30A-06 sur, periodo facturado del 07 de enero al 04 defebrero de 2021, según factura No. 623925877-0.</t>
  </si>
  <si>
    <t>PRESTAR SERVICIOS PROFESIONALES EN LA DIRECCIÓN DE DERECHOS HUMANOS PARAGARANTIZAR LA ATENCIÓN JURÍDICA REQUERIDA PARA LA IMPLEMENTAICÓN DE LAESTRATEGIA DE PREVENCIÓN DE VULNERACIONES A LOS DERECHOS A LA VIDA,LIBERTAD, INTEGRIDAD Y SEGURIDAD DE PERSONAS LGBTI, VICTIMAS DEL DELITODE TRATA DE PERSONAS, LIDERES, LIDERESAS, DEFENSORES Y DEFENSORAS DEDERECHOS HUMANOS QUE DEMANDEN MEDIDAS DE PREVENCIÓN O PROTECCIÓN</t>
  </si>
  <si>
    <t>Prestar servicios profesionales para la operación de la SecretariaTécnica Distrital de Discapacidad, brindando la asistencia técnica yoperativa requerida por el equipo técnico para la reformulación de laPolítica Pública de Discapacidad</t>
  </si>
  <si>
    <t>Prestar servicios profesionales en la dirección de derechos humanos paraapoyar el seguimiento de la política pública integral de derechoshumanos, el sistema distrital de derechos humanos y la formulación de lapolítica pública para la lucha contra la trata de personas</t>
  </si>
  <si>
    <t>PRESTAR SERVICIOS PROFESIONALES DE APOYO A LA COORDINACIÓN PARA REALIZARLA GESTIÓN TÉCNICA EN LA FORMULACIÓN E IMPLEMENTACIÓN DE LAS POLÍTICASPÚBLICAS ÉTNICAS</t>
  </si>
  <si>
    <t>Prestar servicios profesionales en educación comunitaria con enfoquecomunicativo y poblacional, para fortalecer la capacidad de lainstitucionalidad y de los actores sociales, a través de accionespedagógicas conjuntas y sostenibles que prevengan la vulneración,garanticen, promuevan y protejan los derechos humanos.</t>
  </si>
  <si>
    <t>Pago de servicios públicos de los inmuebles en donde se encuentran losespacios de atención diferenciada CONFIA y Casa IndígenaPago servicio de energía de CONFIA suba, ubicado en la Dg 115 No. 70D-95 Int 2 Lc 10, periodo facturado 20 de diciembre de 2020 al 19 deenero de 2021, según factura No. 624799659.</t>
  </si>
  <si>
    <t>Prestar servicios profesionales en educación comunitaria con enfoquerural e intercultural, para fortalecer la capacidad de lainstitucionalidad y de los actores sociales, a través de accionespedagógicas conjuntas y sostenibles que prevengan la vulneración,garanticen, promuevan y protejan los derechos humanos.</t>
  </si>
  <si>
    <t>PRESTAR SERVICIOS PROFESIONALES PARA REALIZAR LA GESTIÓN TÉCNICA EN LAFORMULACIÓN DE LAS POLÍTICAS PÚBLICAS ÉTNICAS CON ENFASIS EN LOS TEMASRELACIONADOS CON VICTIMAS DEL CONFLICTO CON PERTINENCIA ÉTNICA</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</si>
  <si>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</si>
  <si>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en la dirección de derechos humanos paragarantizar la atención jurídica requerida para la implementación de laestrategia de prevención de vulneraciones a los derechos a la vida,libertad, integridad y seguridad de personas LGTBI, víctimas del delitode trata de personas&lt;(&gt;,&lt;)&gt; líderes, lideresas, defensores y defensorasde derechos humanos, que demanden medidas de prevención o protección</t>
  </si>
  <si>
    <t>PRESTAR SERVICIOS PROFESIONALES EN LA SUBDIRECCIÓN DE ASUNTOS ÉTNICOSPARA ATENDER A LA CIUDADANÍA QUE ACUDA A LOSESPACIOS DE ATENCIÓNDIFERENCIADA Y REALIZAR EL ACOMPAÑAMIENTO A PROCESOS COMUNITARIOS YORGANIZACIONALES.</t>
  </si>
  <si>
    <t>PRESTAR SERVICIOS PROFESIONALES EN LA DIRECCIÓN DE DERECHOS HUMANOS PARAGARANTIZAR LA IMPLEMENTACIÓN DE LA ESTRATEGIA DE PREVENCIÓN DEVULNERACIONES A LOS DERECHOS A LA VIDA, LIBERTAD, INTEGRIDAD Y SEGURIDADDE PERSONASLGBTI, VICTIMAS DEL DELITO DE TRATA DE PERSONAS, LIDERES,LIDERESAS, DEFENSORES Y DEFENSORAS DE DERECHOS HUMANOS QUE DEMANDENMEDIDAS DE PREVENCIÓN O PROTECCIÓN</t>
  </si>
  <si>
    <t>PRESTAR SERVICIOS PROFESIONALES EN LA DIRECCIÓN DE DERECHOS HUMANOS PARAREALIZAR EL SEGUIMIENTO A LOS INFORMES DEL SISTEMA DE ALERTAS TEMPRANASDE LA DEFENSORÍA DEL PUEBLO Y DE LA COMISIÓN INTERSECTORIAL DELMINISTERIO DEL INTERIOR</t>
  </si>
  <si>
    <t>504</t>
  </si>
  <si>
    <t>422</t>
  </si>
  <si>
    <t>502</t>
  </si>
  <si>
    <t>432</t>
  </si>
  <si>
    <t>528</t>
  </si>
  <si>
    <t>448</t>
  </si>
  <si>
    <t>242</t>
  </si>
  <si>
    <t>452</t>
  </si>
  <si>
    <t>453</t>
  </si>
  <si>
    <t>514</t>
  </si>
  <si>
    <t>456</t>
  </si>
  <si>
    <t>496</t>
  </si>
  <si>
    <t>459</t>
  </si>
  <si>
    <t>468</t>
  </si>
  <si>
    <t>469</t>
  </si>
  <si>
    <t>476</t>
  </si>
  <si>
    <t>477</t>
  </si>
  <si>
    <t>536</t>
  </si>
  <si>
    <t>488</t>
  </si>
  <si>
    <t>560</t>
  </si>
  <si>
    <t>490</t>
  </si>
  <si>
    <t>547</t>
  </si>
  <si>
    <t>551</t>
  </si>
  <si>
    <t>497</t>
  </si>
  <si>
    <t>550</t>
  </si>
  <si>
    <t>501</t>
  </si>
  <si>
    <t>505</t>
  </si>
  <si>
    <t>572</t>
  </si>
  <si>
    <t>513</t>
  </si>
  <si>
    <t>584</t>
  </si>
  <si>
    <t>517</t>
  </si>
  <si>
    <t>567</t>
  </si>
  <si>
    <t>525</t>
  </si>
  <si>
    <t>583</t>
  </si>
  <si>
    <t>544</t>
  </si>
  <si>
    <t>532</t>
  </si>
  <si>
    <t>516</t>
  </si>
  <si>
    <t>533</t>
  </si>
  <si>
    <t>546</t>
  </si>
  <si>
    <t>534</t>
  </si>
  <si>
    <t>598</t>
  </si>
  <si>
    <t>603</t>
  </si>
  <si>
    <t>585</t>
  </si>
  <si>
    <t>558</t>
  </si>
  <si>
    <t>561</t>
  </si>
  <si>
    <t>562</t>
  </si>
  <si>
    <t>624</t>
  </si>
  <si>
    <t>565</t>
  </si>
  <si>
    <t>618</t>
  </si>
  <si>
    <t>595</t>
  </si>
  <si>
    <t>568</t>
  </si>
  <si>
    <t>602</t>
  </si>
  <si>
    <t>578</t>
  </si>
  <si>
    <t>580</t>
  </si>
  <si>
    <t>581</t>
  </si>
  <si>
    <t>606</t>
  </si>
  <si>
    <t>587</t>
  </si>
  <si>
    <t>607</t>
  </si>
  <si>
    <t>588</t>
  </si>
  <si>
    <t>637</t>
  </si>
  <si>
    <t>596</t>
  </si>
  <si>
    <t>639</t>
  </si>
  <si>
    <t>601</t>
  </si>
  <si>
    <t>645</t>
  </si>
  <si>
    <t>556</t>
  </si>
  <si>
    <t>608</t>
  </si>
  <si>
    <t>605</t>
  </si>
  <si>
    <t>613</t>
  </si>
  <si>
    <t>643</t>
  </si>
  <si>
    <t>614</t>
  </si>
  <si>
    <t>642</t>
  </si>
  <si>
    <t>615</t>
  </si>
  <si>
    <t>616</t>
  </si>
  <si>
    <t>617</t>
  </si>
  <si>
    <t>662</t>
  </si>
  <si>
    <t>541</t>
  </si>
  <si>
    <t>631</t>
  </si>
  <si>
    <t>658</t>
  </si>
  <si>
    <t>632</t>
  </si>
  <si>
    <t>669</t>
  </si>
  <si>
    <t>633</t>
  </si>
  <si>
    <t>664</t>
  </si>
  <si>
    <t>635</t>
  </si>
  <si>
    <t>675</t>
  </si>
  <si>
    <t>682</t>
  </si>
  <si>
    <t>640</t>
  </si>
  <si>
    <t>680</t>
  </si>
  <si>
    <t>404</t>
  </si>
  <si>
    <t>402</t>
  </si>
  <si>
    <t>427</t>
  </si>
  <si>
    <t>6222958306</t>
  </si>
  <si>
    <t>622295821</t>
  </si>
  <si>
    <t>426</t>
  </si>
  <si>
    <t>418</t>
  </si>
  <si>
    <t>6212250493</t>
  </si>
  <si>
    <t>621225049</t>
  </si>
  <si>
    <t>6228161650</t>
  </si>
  <si>
    <t>622816165</t>
  </si>
  <si>
    <t>471</t>
  </si>
  <si>
    <t>461</t>
  </si>
  <si>
    <t>460</t>
  </si>
  <si>
    <t>475</t>
  </si>
  <si>
    <t>474</t>
  </si>
  <si>
    <t>482</t>
  </si>
  <si>
    <t>446</t>
  </si>
  <si>
    <t>440</t>
  </si>
  <si>
    <t>447</t>
  </si>
  <si>
    <t>500</t>
  </si>
  <si>
    <t>509</t>
  </si>
  <si>
    <t>499</t>
  </si>
  <si>
    <t>524</t>
  </si>
  <si>
    <t>506</t>
  </si>
  <si>
    <t>6239258770</t>
  </si>
  <si>
    <t>623925877</t>
  </si>
  <si>
    <t>507</t>
  </si>
  <si>
    <t>540</t>
  </si>
  <si>
    <t>548</t>
  </si>
  <si>
    <t>557</t>
  </si>
  <si>
    <t>559</t>
  </si>
  <si>
    <t>6247996597</t>
  </si>
  <si>
    <t>624799659</t>
  </si>
  <si>
    <t>573</t>
  </si>
  <si>
    <t>571</t>
  </si>
  <si>
    <t>575</t>
  </si>
  <si>
    <t>574</t>
  </si>
  <si>
    <t>LIGIA  PEÑUELA PEÑUELA</t>
  </si>
  <si>
    <t>LUISAFERNANDA FERNANDA AVELLANEDA DIAZ</t>
  </si>
  <si>
    <t>NYDIA YOLIMA MORALES TIBADUIZA</t>
  </si>
  <si>
    <t>CRISTIAN CAMILO CHIGUASUQUE GONZALEZ</t>
  </si>
  <si>
    <t>PAULA  CORTES MOSQUERA</t>
  </si>
  <si>
    <t>AREA LIMPIA DISTRITO CAPITAL S.A.S. E.S. P.</t>
  </si>
  <si>
    <t>GINA MARCELA FONSECA MURILLO</t>
  </si>
  <si>
    <t>EDWIN  CAICEDO MARINEZ</t>
  </si>
  <si>
    <t>LUSIMAR  ASPRILLA MORALES</t>
  </si>
  <si>
    <t>YURY ANDREA SANCHEZ GALINDO</t>
  </si>
  <si>
    <t>JAIRO ENRIQUE ROMAÑA CUESTA</t>
  </si>
  <si>
    <t>MARIA CAMILA SUAREZ FIGUEROA</t>
  </si>
  <si>
    <t>JUAN PABLO SIGINDIOY CHINDOY</t>
  </si>
  <si>
    <t>JUAN FELIPE RODRIGUEZ MAURY</t>
  </si>
  <si>
    <t>SANDRA LUCIA ROJAS GARZON</t>
  </si>
  <si>
    <t>NATALIA  CASTRO REY</t>
  </si>
  <si>
    <t>MANUELA PATRICIA CASSIANI CASSERES</t>
  </si>
  <si>
    <t>ANA CRISTINA SOTELO MANRIQUE</t>
  </si>
  <si>
    <t>JESSYMAR  ALVAREZ ROMAÑA</t>
  </si>
  <si>
    <t>STIVENSON  VILLALBA</t>
  </si>
  <si>
    <t>MAURICIO  RODRIGUEZ DEVIA</t>
  </si>
  <si>
    <t>LIDIA DIYANIRE CASTAÑEDA GUTIERREZ</t>
  </si>
  <si>
    <t>ANDREA CATALINA TUNJO CHIGUASUQUE</t>
  </si>
  <si>
    <t>LEIDY YINETH HERNANDEZ ROJAS</t>
  </si>
  <si>
    <t>ANDRES CAMILO RODRIGUEZ CASTILLO</t>
  </si>
  <si>
    <t>CARLOS JULIO AVILA CORONEL</t>
  </si>
  <si>
    <t>RAUL AUGUSTO BECERRA NOVOA</t>
  </si>
  <si>
    <t>ADRIANA PATRICIA SANCHEZ SALGADO</t>
  </si>
  <si>
    <t>LAURA MILENA NEGRETE LONDOÑO</t>
  </si>
  <si>
    <t>MARCUS ANTONY HOOKER MARTINEZ</t>
  </si>
  <si>
    <t>LADY JOHANA ORDOÑEZ GUERRERO</t>
  </si>
  <si>
    <t>ANDREA LILIANA URIBE RIOS</t>
  </si>
  <si>
    <t>SANDRA YANETH CASTIBLANCO LOZANO</t>
  </si>
  <si>
    <t>ANIBAL  RIVERA RIVERA</t>
  </si>
  <si>
    <t>LINA CECILIA GONZALEZ ROBAYO</t>
  </si>
  <si>
    <t>EDWIN HARVEY GUTIERREZ LOZANO</t>
  </si>
  <si>
    <t>VALERIA  ARBELAEZ ROJAS</t>
  </si>
  <si>
    <t>ANGELA JOHANA PATIÑO QUIROGA</t>
  </si>
  <si>
    <t>VICTOR MANUEL MANYOMA PAREDES</t>
  </si>
  <si>
    <t>CAROL ARLEN RUIZ PEÑUELA</t>
  </si>
  <si>
    <t>MONICA ESTEFANIA CASAS CAMELO</t>
  </si>
  <si>
    <t>Prestar los servicios profesionales apoyando los procesos asignados a laDirección relacionados con las autoridades de policía a cargo de laSecretaría Distrital de Gobierno.</t>
  </si>
  <si>
    <t>Prestar servicios profesionales en la Subsecretaría de Gestión Localpara la intervención y seguimiento de asuntos relacionados con el usodel espacio público y la prevención de las ocupaciones ilegales en elmarco de la estrategia definida por la subsecretaría</t>
  </si>
  <si>
    <t>Prestar servicios profesionales a la Dirección de Gestión Policiva, paradiseñar e implementar estrategias orientadas a optimizar la articulacióninterinstitucional para la aplicación de la Ley 1801 de 2016</t>
  </si>
  <si>
    <t>Prestar los servicios profesionales a la DGP en el seguimiento ycumplimiento de las acciones tendientes al acatamiento de sentenciasjudiciales y/o sanciones administrativas impuestas por la SecretariaDistrital de Gobierno y/o las Alcaldías Locales</t>
  </si>
  <si>
    <t>Prestar los servicios profesionales a la Dirección para la GestiónPoliciva, en el impulso y desarrollo de acciones de vigilancia y controlen materia de gestión ambiental, bienestar y protección animal,encaminadas al fortalecimiento institucional de las Alcaldías Locales</t>
  </si>
  <si>
    <t>REALIZAR ADICIÓN Y PRORROGA DEL CONTRATO DEL CONTRATO 851 DE 2020SUSCRITO ENTRE LA SECRETARIA DISTRITAL DE GOBIERNO Y TRANSPORTESESPECIALES NUEVA ERA SAS</t>
  </si>
  <si>
    <t>Prestar los servicios profesionales brindando apoyo jurídico frente a lagestión y procesos a cargo de la Dirección para la Gestión Policiva.</t>
  </si>
  <si>
    <t>Prestar los servicios profesionales para el impulso y trámite de losprocesos de recuperación del espacio público asociados a temasambientales, de las inspecciones de Policía y de las Alcaldías locales,para el fortalecimiento de la gestión institucional de las mismas.</t>
  </si>
  <si>
    <t>Prestar los servicios profesionales a la Dirección para la GestiónPoliciva, tendiente a realizar seguimiento a la depuración yactualización de actuaciones administrativas de las Alcaldías Locales.</t>
  </si>
  <si>
    <t>Prestar los servicios técnicos a la Dirección para la Gestión Policiva,acompañando actividades de inspección, vigilancia y control -IVC- queefectúen las Alcaldías Locales y/o autoridades de Policía a cargo de laSecretaria Distrital Gobierno</t>
  </si>
  <si>
    <t>Prestar los servicios profesionales jurídicos a la Dirección para laGestión Policiva, para el impulso y desarrollo de las acciones deInspección, vigilancia y control (IVC) en temas relacionados conactividades económicas, ambientales, bienestar y protección animal, asícomo cerros orientales y Rio Bogotá.</t>
  </si>
  <si>
    <t>Prestar los servicios profesionales para acompañar las actividades deinspección, vigilancia y control que realizan las Alcaldías Locales y/olas Inspecciones de Policía a cargo de la Secretaría Distrital deGobierno.</t>
  </si>
  <si>
    <t>Prestar los servicios profesionales para acompañar las actividades deinspección, vigilancia y control que realizan las Alcaldías Locales y/olas Inspecciones de Policía a cargo de la Secretaría Distrital deGobierno</t>
  </si>
  <si>
    <t>Prestar los servicios profesionales a la Dirección para la GestiónPoliciva, acompañando actividades de inspección, vigilancia y control-IVC- que efectúen las Alcaldías Locales y/o autoridades de Policía acargo de la Secretaria Distrital Gobierno.</t>
  </si>
  <si>
    <t>Prestar los servicios profesionales jurídicos a la Dirección para laGestión Policiva, acompañando actividades de inspección, vigilancia ycontrol -IVC- que efectúen las Alcaldías Locales y/o autoridades dePolicía a cargo de la Secretaria Distrital Gobierno.</t>
  </si>
  <si>
    <t>Prestar los servicios profesionales brindando apoyo profesional frente ala gestión y procesos a cargo de la Dirección para la Gestión Policía yapoyar las funciones de inspección vigilancia y control</t>
  </si>
  <si>
    <t>JOHAN ALFREDO ARIAS PEREZ</t>
  </si>
  <si>
    <t>ALVARO JAVIER VEGA VARGAS</t>
  </si>
  <si>
    <t>ROSA HELENA RAMIREZ VARGAS</t>
  </si>
  <si>
    <t>MAILY ESPERANZA DEL PILAR BOTELLO MARTINEZ</t>
  </si>
  <si>
    <t>MAXIMO ENRIQUE PEREZ CARDONA</t>
  </si>
  <si>
    <t>CARLOS CAMILO HERNANDEZ BRITO</t>
  </si>
  <si>
    <t>MILTHON MAURICIO ROJAS MORA</t>
  </si>
  <si>
    <t>TRANSPORTES ESPECIALES NUEVA ERA SAS</t>
  </si>
  <si>
    <t>CARLOS ANDRES CORREDOR CAIPA</t>
  </si>
  <si>
    <t>ANGELICA MARIA CHACON SALCEDO</t>
  </si>
  <si>
    <t>CAROLINA  VELANDIA FLOREZ</t>
  </si>
  <si>
    <t>ANDRES FELIPE VARGAS GARRIDO</t>
  </si>
  <si>
    <t>KATHERINE ALEXANDRA RIAÑO OVALLE</t>
  </si>
  <si>
    <t>JORGE ALEXANDER CAICEDO RIVERA</t>
  </si>
  <si>
    <t>SONIA MAYERLY RODRIGUEZ TORRES</t>
  </si>
  <si>
    <t>BELLI ROSA VELANDIA CONTRERAS</t>
  </si>
  <si>
    <t>ANGELICA MARIA ALFONSO ALFONSO</t>
  </si>
  <si>
    <t>LUIS FERNANDO BETANCOURT MAYA</t>
  </si>
  <si>
    <t>PAOLA ANDREA HERNANDEZ ZAMBRANO</t>
  </si>
  <si>
    <t>PAULA YINETH CUERVO DELGADO</t>
  </si>
  <si>
    <t>ANDREA PATRICIA AGUDELO MONJE</t>
  </si>
  <si>
    <t>MAURICIO  HERNANDEZ CACERES</t>
  </si>
  <si>
    <t>CARLOS EDUARDO CASTILLO VANEGAS</t>
  </si>
  <si>
    <t>457</t>
  </si>
  <si>
    <t>415</t>
  </si>
  <si>
    <t>439</t>
  </si>
  <si>
    <t>435</t>
  </si>
  <si>
    <t>553</t>
  </si>
  <si>
    <t>554</t>
  </si>
  <si>
    <t>552</t>
  </si>
  <si>
    <t>593</t>
  </si>
  <si>
    <t>597</t>
  </si>
  <si>
    <t>569</t>
  </si>
  <si>
    <t>599</t>
  </si>
  <si>
    <t>610</t>
  </si>
  <si>
    <t>611</t>
  </si>
  <si>
    <t>626</t>
  </si>
  <si>
    <t>579</t>
  </si>
  <si>
    <t>609</t>
  </si>
  <si>
    <t>590</t>
  </si>
  <si>
    <t>628</t>
  </si>
  <si>
    <t>591</t>
  </si>
  <si>
    <t>636</t>
  </si>
  <si>
    <t>604</t>
  </si>
  <si>
    <t>655</t>
  </si>
  <si>
    <t>656</t>
  </si>
  <si>
    <t>612</t>
  </si>
  <si>
    <t>657</t>
  </si>
  <si>
    <t>650</t>
  </si>
  <si>
    <t>638</t>
  </si>
  <si>
    <t>354</t>
  </si>
  <si>
    <t>405</t>
  </si>
  <si>
    <t>376</t>
  </si>
  <si>
    <t>449</t>
  </si>
  <si>
    <t>470</t>
  </si>
  <si>
    <t>478</t>
  </si>
  <si>
    <t>479</t>
  </si>
  <si>
    <t>851</t>
  </si>
  <si>
    <t>511</t>
  </si>
  <si>
    <t>521</t>
  </si>
  <si>
    <t>522</t>
  </si>
  <si>
    <t>519</t>
  </si>
  <si>
    <t>535</t>
  </si>
  <si>
    <t>518</t>
  </si>
  <si>
    <t>530</t>
  </si>
  <si>
    <t>549</t>
  </si>
  <si>
    <t>555</t>
  </si>
  <si>
    <t>PRESTAR SERVICIOS PROFESIONALES PARA LA PROMOCIÓN DE LA SANA CONVIVENCIAEN EL FÚTBOL DENTRO Y FUERA DEL ESTADIO A TRAVÉS DEL PROGRAMA DEBARRISMO SOCIAL, ASISTIR LOS TEMAS RELACIONADOS CON LA CONVIVENCIA,DIALOGO SOCIAL Y PROTESTA</t>
  </si>
  <si>
    <t>PRESTAR LOS SERVICIOS DE APOYO A LA GESTIÓN A LA DIRECCIÓN DECONVIVENCIA Y DIÁLOGO SOCIAL PARA BRINDAR ACOMPAÑAMIENTO EN LOS PROCESOSDE CONFLICTIVIDAD SOCIAL, MOVILIZACIÓN CIUDADANA, AGLOMERACIONES, APOYARLAIMPLEMENTACIÓN DE ACCIONES DE DIÁLOGO Y PREVENCIÓN QUE SE REQUIERAN ENMATERIA GOBERNABILIDAD, ASISTIR LOS TEMAS RELACIONADOS CON LACONVIVENCIA, DIÁLOGO SOCIAL Y PROTESTAS.</t>
  </si>
  <si>
    <t>PRESTAR SERVICIOS PROFESIONALES PARA LA PROMOCIÓN DE LA SANA CONVIVENCIAEN EL FÚTBOL DENTRO Y FUERA DEL ESTADIO ATRAVÉS DEL PROGRAMA DE BARRISMOSOCIAL, ASISTIR LOS TEMAS RELACIONADOS CON LA CONVIVENCIA, DIALOGOSOCIAL Y PROTESTAS</t>
  </si>
  <si>
    <t>PRESTAR SERVICIOS DE APOYO A LA GESTIÓN PARA LA PROMOCIÓN DE LA SANACONVIVENCIA EN EL FÚTBOL DENTRO Y FUERA DEL ESTADIO A TRAVÉS DELPROGRAMA DE BARRISMO SOCIAL, ASISTIR LOS TEMAS RELACIONADOS CON LACONVIVENCIA, DIALOGO SOCIAL Y PROTESTA</t>
  </si>
  <si>
    <t>PRESTAR LOS SERVICIOS DE APOYO A LA GESTIÓN A LA DIRECCIÓN DECONVIVENCIA Y DIÁLOGO SOCIAL PARA BRINDAR ACOMPAÑAMIENTO EN LOS PROCESOSDE CONFLICTIVIDAD SOCIAL, MOVILIZACIÓN CIUDADANA, AGLOMERACIONES ASÍCOMO EN LA IMPLEMENTACIÓN DE ACCIONES DE DIÁLOGO Y PREVENCIÓN QUE SEREQUIERAN EN MATERIA GOBERNABILIDAD</t>
  </si>
  <si>
    <t>PRESTAR SERVICIOS PROFESIONALES EN LA DIRECCIÓN DE CONVIVENCIA Y DIÁLOGOSOCIAL PARA LA TERRITORIALIZACIÓN DEL PLAN DE INTERVENCIÓN LOCAL ENCONVIVENCIA Y DIÁLOGO SOCIAL Y DEMÁS POLÍTICAS PÚBLICAS A CARGO DE LASUBSECRETARÍA PARA LA GOBERNABILIDAD Y LA IMPLEMENTACIÓN DE INICIATIVASCIUDADANAS</t>
  </si>
  <si>
    <t>PRESTAR SERVICIOS PROFESIONALES PARA APOYAR LA COORDINACIÓN DE LAPROMOCIÓN DE LA SANA CONVIVENCIA EN EL FÚTBOL DENTRO Y FUERA DEL ESTADIOA TRAVÉS DEL PROGRAMA DE BARRISMO SOCIAL</t>
  </si>
  <si>
    <t>PRESTAR LOS SERVICIOS DE SOPORTE A LA GESTIÓN PARA LA PUESTA EN MARCHADEL OBSERVATORIO DE DIÁLOGO SOCIAL&lt;(&gt;,&lt;)&gt; BRINDAR ACOMPAÑAMIENTO EN LAIMPLEMENTACIÓN DE ACCIONES DE DIÁLOGO Y PREVENCIÓN QUE SE REQUIERAN ENMATERIA DE GOBERNABILIDAD EN ARTICULACIÓN CON LAS POLÍTICAS PÚBLICAS ACARGO DEL SECTOR Y DE LAS DEPENDENCIAS ADSCRITAS</t>
  </si>
  <si>
    <t>Prestar servicios profesionales para el fortalecimiento delrelacionamiento con la ciudadanía, que permita el desarrollo deiniciativas de participación ciudadana</t>
  </si>
  <si>
    <t>Solicitud CDP de ARL Dirección de Convivencia y Dialogo Social, mediantememorado 20213000005353PAGO DE LOS RIEGOS PROFESIONALES DE LOS CONTRATISTAS CLASIFICADOS DEALTO RIESGO, SEGÚN PLANILLA 48700876, DEL MES DE ENERO DE 2021.</t>
  </si>
  <si>
    <t>PRESTAR SERVICIOS DE APOYO A LA GESTIÓN PARA LA PROMOCIÓN DE LA SANACONVIVENCIA EN EL FÚTBOL DENTRO Y FUERA DELESTADIO A TRAVÉS DEL PROGRAMADE BARRISMO SOCIAL, ASISTIR LOS TEMAS RELACIONADOS CON LA CONVIVENCIA,DIALOGO SOCIAL Y PROTESTAS.</t>
  </si>
  <si>
    <t>PRESTAR SERVICIOS PROFESIONALES ESPECIALIZADOS PARA APOYAR LA GESTIÓN YARTICULACIÓN EN LOS PROCESOS MISIONALES DE LA DIRECCIÓN DE CONVIVENCIA YDIÁLOGO SOCIAL EN LOS TEMAS RELACIONADOS CON LA CONVIVENCIA, DIÁLOGOSOCIAL Y PROTESTAS SOCIALES</t>
  </si>
  <si>
    <t>PRESTAR SERVICIOS PROFESIONALES ESPECIALIZADOS EN LA DIRECCIÓN DECONVIVENCIA Y DIÁLOGO SOCIAL PARA APOYAR ELCORRECTO DESEMPEÑO MISIONALDE LA DIRECCIÓN EN LOS TEMAS RELACIONADOS CON LA CONVIVENCIA, DIÁLOGOSOCIAL Y PROTESTAS SOCIALES.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</si>
  <si>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</si>
  <si>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JOHN ALEXANDER SOLANO CAICEDO</t>
  </si>
  <si>
    <t>FRANCIA HELENA QUINTERO QUINTERO</t>
  </si>
  <si>
    <t>MARIO ASDRUBAL RODRIGUEZ SANCHEZ</t>
  </si>
  <si>
    <t>DIEGO ALEXANDER GONZALEZ GOMEZ</t>
  </si>
  <si>
    <t>WILSON FABIAN SANABRIA SIERRA</t>
  </si>
  <si>
    <t>LILIAN YOLANDA LOPEZ RODRIGUEZ</t>
  </si>
  <si>
    <t>ARIEL ALEXIS GUERRA BURGOS</t>
  </si>
  <si>
    <t>ERIKA ALEJANDRA LEON CLAROS</t>
  </si>
  <si>
    <t>LUISA FERNANDA DUQUE PINEDA</t>
  </si>
  <si>
    <t>CAMILO DE JESUS COGOLLO ALMANZA</t>
  </si>
  <si>
    <t>ANDRES RICARDO AMAYA MUÑOZ</t>
  </si>
  <si>
    <t>JUAN SEBASTIAN RODRIGUEZ ZAMUDIO</t>
  </si>
  <si>
    <t>LAURA CAMILA URREGO BARBOSA</t>
  </si>
  <si>
    <t>FERNANDO  FLOREZ MORA</t>
  </si>
  <si>
    <t>PAOLA ALEJANDRA SILVA RUIZ</t>
  </si>
  <si>
    <t>FRANCY ALIRIO AMAYA DIAZ</t>
  </si>
  <si>
    <t>JHON HENRY BUSTOS MEDINA</t>
  </si>
  <si>
    <t>DILAN CAMILO CHAPARRO MEJIA</t>
  </si>
  <si>
    <t>RAUL EDUARDO SILVA DIAZ</t>
  </si>
  <si>
    <t>POSITIVA COMPAÑIA DE SEGUROS SA</t>
  </si>
  <si>
    <t>DIEGO JAVIER RODRIGUEZ</t>
  </si>
  <si>
    <t>STEFANNY  BARRETO TAFUR</t>
  </si>
  <si>
    <t>JAVIER ANDRES GUERRA ACOSTA</t>
  </si>
  <si>
    <t>WILLIAM ANTONIO CEBALLOS BELTRAN</t>
  </si>
  <si>
    <t>CAMILO EDUARDO FELICIANO ARIZA</t>
  </si>
  <si>
    <t>503</t>
  </si>
  <si>
    <t>416</t>
  </si>
  <si>
    <t>495</t>
  </si>
  <si>
    <t>433</t>
  </si>
  <si>
    <t>441</t>
  </si>
  <si>
    <t>510</t>
  </si>
  <si>
    <t>464</t>
  </si>
  <si>
    <t>493</t>
  </si>
  <si>
    <t>498</t>
  </si>
  <si>
    <t>586</t>
  </si>
  <si>
    <t>523</t>
  </si>
  <si>
    <t>623</t>
  </si>
  <si>
    <t>577</t>
  </si>
  <si>
    <t>622</t>
  </si>
  <si>
    <t>508</t>
  </si>
  <si>
    <t>594</t>
  </si>
  <si>
    <t>651</t>
  </si>
  <si>
    <t>641</t>
  </si>
  <si>
    <t>526</t>
  </si>
  <si>
    <t>665</t>
  </si>
  <si>
    <t>661</t>
  </si>
  <si>
    <t>667</t>
  </si>
  <si>
    <t>625</t>
  </si>
  <si>
    <t>668</t>
  </si>
  <si>
    <t>627</t>
  </si>
  <si>
    <t>677</t>
  </si>
  <si>
    <t>395</t>
  </si>
  <si>
    <t>421</t>
  </si>
  <si>
    <t>397</t>
  </si>
  <si>
    <t>398</t>
  </si>
  <si>
    <t>462</t>
  </si>
  <si>
    <t>485</t>
  </si>
  <si>
    <t>486</t>
  </si>
  <si>
    <t>483</t>
  </si>
  <si>
    <t>487</t>
  </si>
  <si>
    <t>463</t>
  </si>
  <si>
    <t>543</t>
  </si>
  <si>
    <t>542</t>
  </si>
  <si>
    <t>539</t>
  </si>
  <si>
    <t>48700876</t>
  </si>
  <si>
    <t>529</t>
  </si>
  <si>
    <t>564</t>
  </si>
  <si>
    <t>563</t>
  </si>
  <si>
    <t>Prestar servicios profesionales para las gestiones de implementación ysDistrito.</t>
  </si>
  <si>
    <t>Prestar servicios profesionales para apoyar la transversalización yterritorialización de la igualdad para la mujer, equidad de géneros y elenfoque diferencial en planes, programas y proyectos de la Subsecretaríapara la Gobernabilidad y Garantía de Derechos y dependencias adscritas.</t>
  </si>
  <si>
    <t>Prestar servicios profesionales de asesoría, gestión y asistenciatécnica en el tratamiento jurídico de los asuntos de naturalezaelectoral que se encuentren en trámite o se promuevan como consecuenciadel ejercicio de los mecanismos de participación democrática y elejercicio de derechos políticos</t>
  </si>
  <si>
    <t>Prestar servicios profesionales Especializados a la Secretaría Distritalde Gobierno, en el acompañamiento y desarrollo técnico para laimplementación y seguimiento a la operación de herramientas,instrumentos y procesos de participación ciudadana digital, en el marcodel Gobierno abierto.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</si>
  <si>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</si>
  <si>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servicios profesionales para el diseño e implementación dellaboratorio de innovación social en articulación con las políticaspúblicas a cargo del sector</t>
  </si>
  <si>
    <t>Prestar servicio de apoyo a la gestión en la Subsecretaría para laGobernabilidad y Garantía de Derechos, en las actividades de carácteradministrativo y/u operativo en el marco de la implementación yseguimiento de los procesos de apoyo y misionales a cargo de ladependencia encaminados a mejorar la participación y la gestión pública</t>
  </si>
  <si>
    <t>Prestar los servicios de apoyo a la gestión a la subsecretaría para lagobernabilidad y garantía de derechos apoyando el diseño eimplementación de una estrategia de democracia y participación digitalen articulación de las actividades propias de la misionalidad de lasubsecretaría y sus dependencias</t>
  </si>
  <si>
    <t>JUAN DIEGO MEDINA SALINAS</t>
  </si>
  <si>
    <t>LAURA CATALINA ROA SAYAGO</t>
  </si>
  <si>
    <t>ALVARO  ECHEVERRY LONDONO</t>
  </si>
  <si>
    <t>JAIME RICARDO HERNANDEZ AMIN</t>
  </si>
  <si>
    <t>CLAUDIA VICTORIA CASTAÑO MARTINEZ</t>
  </si>
  <si>
    <t>JORGE  CARO HERNANDEZ</t>
  </si>
  <si>
    <t>NATALIA  LOAIZA MESA</t>
  </si>
  <si>
    <t>DANIEL FELIPE MORALES TINTOR</t>
  </si>
  <si>
    <t>EDISSON DAVID HERNANDEZ RAMIREZ</t>
  </si>
  <si>
    <t>434</t>
  </si>
  <si>
    <t>437</t>
  </si>
  <si>
    <t>458</t>
  </si>
  <si>
    <t>515</t>
  </si>
  <si>
    <t>646</t>
  </si>
  <si>
    <t>600</t>
  </si>
  <si>
    <t>659</t>
  </si>
  <si>
    <t>666</t>
  </si>
  <si>
    <t>417</t>
  </si>
  <si>
    <t>406</t>
  </si>
  <si>
    <t>429</t>
  </si>
  <si>
    <t>489</t>
  </si>
  <si>
    <t>484</t>
  </si>
  <si>
    <t>451</t>
  </si>
  <si>
    <t>545</t>
  </si>
  <si>
    <t>Prestar los servicios profesionales en el levantamiento de información ysoporte en la actualización de las herramientas tecnológicas que apoyenla extracción de datos e insumos para la consolidación de documentos deseguimiento con los actores políticos, en cumplimiento de las metas delproyecto de inversión y del Plan Distrital de Desarrollo</t>
  </si>
  <si>
    <t>Prestar los servicios profesionales orientados al seguimiento y análisisestratégico de todas las actividades relacionadas con control político,en especial el trámite y seguimiento a las proposiciones y debates querealice el Concejo de Bogotá, D.C., de acuerdo con lo establecido en lanormatividad vigente.</t>
  </si>
  <si>
    <t>Prestar los servicios técnicos orientados al seguimiento y análisisestratégico de todas las actividades relacionadas con control político,en especial el trámite y seguimiento a las proposiciones y debates querealice el Concejo de Bogotá, D.C., de acuerdo con lo establecido en lanormatividad vigente.</t>
  </si>
  <si>
    <t>JUAN CARLOS DE JESUS CABANA GAVIRIA</t>
  </si>
  <si>
    <t>ORLANDO  NUMPAQUE GAMBASICA</t>
  </si>
  <si>
    <t>MARIA DEL PILAR PERILLA SILVA</t>
  </si>
  <si>
    <t>WILMAN  ROJAS MARQUEZ</t>
  </si>
  <si>
    <t>CAMILA ANDREA BUSTOS OCAMPO</t>
  </si>
  <si>
    <t>ANDERSON JULIAN ACEVEDO HERREÑO</t>
  </si>
  <si>
    <t>CRISTHIAN ANDRES PARRADO RODRIGUEZ</t>
  </si>
  <si>
    <t>STEPHANIE GIRE ZAMORA GUZMAN</t>
  </si>
  <si>
    <t>PAOLA ANDREA PABON CUELLAR</t>
  </si>
  <si>
    <t>KAREN VANESA MARRINER CASTRO</t>
  </si>
  <si>
    <t>MONICA PATRICIA CASTAÑEDA GOMEZ</t>
  </si>
  <si>
    <t>ANDREA PATRICIA ROBLES CALDERON</t>
  </si>
  <si>
    <t>PAULA ALEJANDRA RODRIGUEZ RUIZ</t>
  </si>
  <si>
    <t>OCTAVIO ORLANDO REYES ORJUELA</t>
  </si>
  <si>
    <t>JULY DANIELA TIQUE HERNANDEZ</t>
  </si>
  <si>
    <t>HUGO YESID SUAREZ SIERRA</t>
  </si>
  <si>
    <t>LUZ ANGELICA BETANCOURT RUIZ</t>
  </si>
  <si>
    <t>MANUELA  CASTELLANOS PINILLOS</t>
  </si>
  <si>
    <t>494</t>
  </si>
  <si>
    <t>414</t>
  </si>
  <si>
    <t>472</t>
  </si>
  <si>
    <t>436</t>
  </si>
  <si>
    <t>454</t>
  </si>
  <si>
    <t>29</t>
  </si>
  <si>
    <t>33</t>
  </si>
  <si>
    <t>27</t>
  </si>
  <si>
    <t>36</t>
  </si>
  <si>
    <t>21</t>
  </si>
  <si>
    <t>11</t>
  </si>
  <si>
    <t>512</t>
  </si>
  <si>
    <t>6</t>
  </si>
  <si>
    <t>14</t>
  </si>
  <si>
    <t>12</t>
  </si>
  <si>
    <t>455</t>
  </si>
  <si>
    <t>388</t>
  </si>
  <si>
    <t>407</t>
  </si>
  <si>
    <t>385</t>
  </si>
  <si>
    <t>381</t>
  </si>
  <si>
    <t>450</t>
  </si>
  <si>
    <t>467</t>
  </si>
  <si>
    <t>466</t>
  </si>
  <si>
    <t>465</t>
  </si>
  <si>
    <t>PRESTAR SERVICIOS DE APOYO A LA GESTIÓN EN LA DIRECCIÓN DE CONTRATACIÓNPARA EL SEGUIMIENTO TÉCNICO A LOS PROCESOS DE CARÁCTER ADMINISTRATIVOY/O CONTRACTUAL EN EL MARCO DEL MODELO INTEGRADO DE GESTIÓNINSTITUCIONAL Y SECTOR</t>
  </si>
  <si>
    <t>El contratista se obliga para con la Secretaría Distrital de Gobierno aprestar sus servicios profesionales como abogado en la DirecciónJurídica en todos aquellos asuntos relacionados con la representaciónjudicial, especialmente en el trámite de las acciones constitucionalesque impetran los ciudadanos y en las que se encuentra vinculada laentidad, así como la proyección de actos administrativos que surjandentro del marco de competencia de la dependencia donde se encuentraasignada.</t>
  </si>
  <si>
    <t>Prestar los servicios profesionales en la Oficina Asesora de Planeaciónen el acompañamiento y liderazgo técnico en la implementación, ejecucióny seguimiento de las herramientas de la entidad y el fortalecimiento delmodelo integrado de planeación y gestión en cumplimiento de lasresponsabilidades asignadas.</t>
  </si>
  <si>
    <t>Prestar servicios profesionales como abogado en la dirección jurídica dela secretaría distrital de gobierno, para representar judicial yextrajudicialmente a la entidad, en los procesos que le sean asignados,así como en las demás actuaciones administrativas que se requieran</t>
  </si>
  <si>
    <t>Prestar servicios profesionales a la Oficina de Control Interno, paraapoyar ejecución del Plan Anual de Auditoría que permiten evaluar laeficiencia&lt;(&gt;,&lt;)&gt; eficacia y efectividad del Sistema de Control internoen las dependencias que conforman la Secretaría Distrital de Gobierno</t>
  </si>
  <si>
    <t>Prestar los servicios profesionales en el fortalecimiento de lasgestiones de carácter administrativo y contractual de la secretaríadistrital de gobierno en el marco del modelo integrado de planeación ygestión institucional y sectorial.</t>
  </si>
  <si>
    <t>PRESTAR LOS SERVICIOS DE APOYO A LA GESTIÓN A LA DIRECCIONADMINISTRATIVA EN EL DESARROLLO DE LOS PROCESOS DE GESTION DELPATRIMONIO DOCUMENTAL DE LA SDG</t>
  </si>
  <si>
    <t>Prestar los servicios profesionales a la Dirección de Gestión de TalentoHumano con el fin de apoyar el desarrollo organizacional de la entidaden materia de bienestar, capacitación y seguridad en el trabajo</t>
  </si>
  <si>
    <t>Prestar los servicios profesionales para apoyar el cubrimiento de lasactividades que se desarrollen en la Secretaría Distrital de Gobierno</t>
  </si>
  <si>
    <t>PRESTAR LOS SERVICIOS DE APOYO A LA GESTIÓN EN LA DIRECCIÓNADMINISTRATIVA EN LA IMPLEMENTACIÓN DE LOS PROCESOS DE ORGANIZACIÓNARCHIVISTICA</t>
  </si>
  <si>
    <t>PRESTAR LOS SERVICIOS DE APOYO A LA DIRECCIÓN ADMINISTRATIVA ENINVENTARIOS DE LOS BIENES MUEBLES E INMUEBLES DE LA SECRETARIA DISTRITALDE GOBIERNO</t>
  </si>
  <si>
    <t>Prestar los servicios profesionales a la Oficina Asesora de Planeaciónen el marco del Modelo de Planeación y gestión como apoyo al equipo delSistema de Gestión Ambiental.</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</si>
  <si>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</si>
  <si>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A LA DIRECCIÓN ADMINISTRATIVA EN LAORGANIZACIÓN Y SEGUIMIENTO DE LAS ACTIVIDADES RELACIONADAS CON EL MANEJOY CONTROL DE LOS INVENTARIOS, DE PROPIEDAD DE LA SECRETARIA DISTRITAL DEGOBIERNO</t>
  </si>
  <si>
    <t>Prestar servicios profesionales en la Secretaría Distrital de gobiernode Bogotá para el apoyo en la gestión de la información que apoyen latoma decisiones basadas en datos, por medio de técnicas de analítica ydel uso de herramientas computacionales, para el cumplimiento de susfunciones misionales.</t>
  </si>
  <si>
    <t>Prestar los servicios profesionales especializados en el fortalecimientode las gestiones de carácter administrativo y contractual de lasecretaría distrital de gobierno en el marco del modelo integrado deplaneación y gestión institucional y sectorial</t>
  </si>
  <si>
    <t>Prestar los servicios profesionales en la Dirección Administrativa de laSecretaría Distrital de Gobierno en el seguimiento a los planes degestión y de mejoramiento así como en los programas que lidere laDirección, en el marco del Sistema Integrado de Gestión</t>
  </si>
  <si>
    <t>"PRESTAR LOS SERVICIOS DE APOYO A LAS LABORES DE MANTENIMIENTO LOCATIVO,PREVENTIVO Y CORRECTIVO, Y REPARACIONES Y ADECUACIONES QUE SE PRESENTENEN LAS SEDES DEL NIVEL CENTRAL DE LA SECRETARIA DISTRITAL DE GOBIERNO"</t>
  </si>
  <si>
    <t>Prestar servicios profesionales para la administración de lainfraestructura y los servicios de la nube de oracle (Bases de datos,servidores de aplicaciones e IAS) y on premises implementados en laSecretaria Distrital de Gobierno</t>
  </si>
  <si>
    <t>"PRESTAR LOS SERVICIOS DE APOYO A LAS LABORES DE MANTENIMIENTO LOCATIVO,PREVENTIVO Y CORRECTIVO, Y REPARACIONES Y¨ADECUACIONES QUE SE PRESENTENEN LAS SEDES DEL NIVEL CENTRAL DE LA SECRETARIA DISTRITAL DE GOBIERNO</t>
  </si>
  <si>
    <t>"PRESTAR LOS SERVICIOS DE APOYO A LAS LABORES DE MANTENIMIENTO LOCATIVO,PREVENTIVO Y CORRECTIVO, Y REPARACIONES Y ADECUACIONES QUE SE PRESENTENEN LAS SEDES DEL NIVEL CENTRAL DE LA SECRETARIA DISTRITAL DE GOBIERNO."</t>
  </si>
  <si>
    <t>Prestación de servicios profesionales para la representación judicial yextrajudicial en material penal a la Entidad y a las JuntasAdministradoras Locales&lt;(&gt;,&lt;)&gt; las Alcaldías Locales y los Fondos deDesarrollo Local, en los procesos que le sean asignados, así como en laemisión de conceptos y demás actuaciones administrativas que serequieran.</t>
  </si>
  <si>
    <t>PRESTAR LOS SERVICIOS DE APOYO A LA DIRECCIÓN ADMINISTRATIVA DE LASECRETARÍA DISTRITAL DE GOBIERNO EN EL DISEÑO Y ESTRUCTURACION DELPROYECTO SMART WORKING DE LA ENTIDAD</t>
  </si>
  <si>
    <t>PRESTAR LOS SERVICIOS A LA DIRECCIÓN ADMINISTRATIVA DE LA SECRETARÍADISTRITAL DE GOBIERNO EN EL APOYO ADMINISTRATIVO EN LO RELACIONADO ALMANTENIMIENTO Y BUEN FUNCIONAMIENTO DE LA INFRAESTRUCTURA DE LOS PREDIOSDE PROPIEDAD DE LA ENTIDAD.</t>
  </si>
  <si>
    <t>Prestar los servicios profesionales para asesorar y gestionar losasuntos relacionados con la función del Congreso de la República entemas de control político, audiencias públicas y estudios de proyectosde ley y/o actos legislativos de interés de la Administración Distritalde conformidad con la normatividad vigente y los lineamientos que sobreesta materia estén reglamentados en la Secretaría Distrital de Gobiernoy aporten al modelo integral de planeación y gestión institucional ysectorial.</t>
  </si>
  <si>
    <t>JULIETH ALEXANDRA NEIRA MEDINA</t>
  </si>
  <si>
    <t>PAOLA  OSPINA CASTAÑEDA</t>
  </si>
  <si>
    <t>LINA MARIA ECHEVERRI LOMBANA</t>
  </si>
  <si>
    <t>MARIA LUSELIA TOLOZA MARTINEZ</t>
  </si>
  <si>
    <t>CRISTIAN HUMBERTO CUERVO REYES</t>
  </si>
  <si>
    <t>ELVIA YANET QUEVEDO GUTIERREZ</t>
  </si>
  <si>
    <t>ASTRID DALILA CAMARGO VARGAS</t>
  </si>
  <si>
    <t>LORENA  LUNA MONTUFAR</t>
  </si>
  <si>
    <t>KARINA PAOLA GOMEZ BERNAL</t>
  </si>
  <si>
    <t>Martha Lucia Diaz Murcia</t>
  </si>
  <si>
    <t>ANYULY  CAMACHO MARTINEZ</t>
  </si>
  <si>
    <t>MIGUEL ANGEL GARZON GONZALEZ</t>
  </si>
  <si>
    <t>SERGIO IVAN DUQUE MOYANO</t>
  </si>
  <si>
    <t>DIANA CAROLINA FERNANDEZ DIAZ</t>
  </si>
  <si>
    <t>ADRIANA  ARANGO MARIN</t>
  </si>
  <si>
    <t>FLOR MARIA ANGULO LOPEZ</t>
  </si>
  <si>
    <t>CHRISTIAN CAMILO RIAÑO CARDONA</t>
  </si>
  <si>
    <t>INGRID JOHANA PINZON LOPEZ</t>
  </si>
  <si>
    <t>LAURA MARCELA LARA BETANCOURT</t>
  </si>
  <si>
    <t>DIEGO ANDRES SOLORZANO LASSO</t>
  </si>
  <si>
    <t>ANGIE NORELLY PEÑA MOLINA</t>
  </si>
  <si>
    <t>PAULA ALEJANDRA GUEVARA CORTES</t>
  </si>
  <si>
    <t>NATALIA  MUÑOZ MUÑOZ</t>
  </si>
  <si>
    <t>JOBANY JAVIER JORGE SILVA</t>
  </si>
  <si>
    <t>SANDRA MARCELA RIVERA MONTAÑA</t>
  </si>
  <si>
    <t>VERONICA PATRICIA HERRERA LUQUE</t>
  </si>
  <si>
    <t>YEIMY CAROLINA BELTRAN BARRANTES</t>
  </si>
  <si>
    <t>LUZ ANYELA MORA ECHEVERRIA</t>
  </si>
  <si>
    <t>JUAN ALBERTO NIETO GUERRERO</t>
  </si>
  <si>
    <t>SANDRA MILENA JIMENEZ GUERRERO</t>
  </si>
  <si>
    <t>LIDY JOHANNA BOHORQUEZ MELO</t>
  </si>
  <si>
    <t>ADRIANA  RESTREPO VARGAS</t>
  </si>
  <si>
    <t>MARIA CAMILA PEÑA RAMIREZ</t>
  </si>
  <si>
    <t>RAFAEL ANTONIO ROMERO ZUBIETA</t>
  </si>
  <si>
    <t>MARISOL  ORTIZ RINCON</t>
  </si>
  <si>
    <t>ANDRES FELIPE LEON BARRAGAN</t>
  </si>
  <si>
    <t>CESAR AUGUSTO BELTRAN CACERES</t>
  </si>
  <si>
    <t>ADRIANA MILENA PRIETO RUEDA</t>
  </si>
  <si>
    <t>ELKIN MAURICIO BARBOSA SANTANA</t>
  </si>
  <si>
    <t>ANDRES VICENTE URIBE GELVEZ</t>
  </si>
  <si>
    <t>DANIELA CAROLINA SANABRIA GUERRERO</t>
  </si>
  <si>
    <t>FANNY MARCELA CASTRO BALAGUERA</t>
  </si>
  <si>
    <t>WILMAR JOSE VALENCIA SUAREZ</t>
  </si>
  <si>
    <t>JOSE GERARDO RODRIGUEZ MONGUI</t>
  </si>
  <si>
    <t>CRISTIAN ALEJANDRO PEREZ ARAQUE</t>
  </si>
  <si>
    <t>NESTOR RAUL TORRES RAMOS</t>
  </si>
  <si>
    <t>JACKSON DANIEL CALDERON</t>
  </si>
  <si>
    <t>JUAN MANUEL VELASQUEZ MUÑOZ</t>
  </si>
  <si>
    <t>CARLOS GILBERTO GOMEZ CIFUENTES</t>
  </si>
  <si>
    <t>WILSON STEVEN MACIAS ACEVEDO</t>
  </si>
  <si>
    <t>LUZ ANGELA GOMEZ GUERRERO</t>
  </si>
  <si>
    <t>JUAN DAVID ALVAREZ ESCOBAR</t>
  </si>
  <si>
    <t>GESSICA MAYERLY FRANCO MEZA</t>
  </si>
  <si>
    <t>MARIA CAROLINA CARRILLO SALTAREN</t>
  </si>
  <si>
    <t>412</t>
  </si>
  <si>
    <t>423</t>
  </si>
  <si>
    <t>294</t>
  </si>
  <si>
    <t>424</t>
  </si>
  <si>
    <t>425</t>
  </si>
  <si>
    <t>337</t>
  </si>
  <si>
    <t>428</t>
  </si>
  <si>
    <t>261</t>
  </si>
  <si>
    <t>279</t>
  </si>
  <si>
    <t>430</t>
  </si>
  <si>
    <t>538</t>
  </si>
  <si>
    <t>442</t>
  </si>
  <si>
    <t>239</t>
  </si>
  <si>
    <t>443</t>
  </si>
  <si>
    <t>396</t>
  </si>
  <si>
    <t>531</t>
  </si>
  <si>
    <t>480</t>
  </si>
  <si>
    <t>537</t>
  </si>
  <si>
    <t>492</t>
  </si>
  <si>
    <t>576</t>
  </si>
  <si>
    <t>570</t>
  </si>
  <si>
    <t>566</t>
  </si>
  <si>
    <t>630</t>
  </si>
  <si>
    <t>619</t>
  </si>
  <si>
    <t>660</t>
  </si>
  <si>
    <t>620</t>
  </si>
  <si>
    <t>672</t>
  </si>
  <si>
    <t>634</t>
  </si>
  <si>
    <t>363</t>
  </si>
  <si>
    <t>408</t>
  </si>
  <si>
    <t>403</t>
  </si>
  <si>
    <t>265</t>
  </si>
  <si>
    <t>401</t>
  </si>
  <si>
    <t>323</t>
  </si>
  <si>
    <t>234</t>
  </si>
  <si>
    <t>394</t>
  </si>
  <si>
    <t>144</t>
  </si>
  <si>
    <t>411</t>
  </si>
  <si>
    <t>410</t>
  </si>
  <si>
    <t>409</t>
  </si>
  <si>
    <t>324</t>
  </si>
  <si>
    <t>444</t>
  </si>
  <si>
    <t>392</t>
  </si>
  <si>
    <t>325</t>
  </si>
  <si>
    <t>390</t>
  </si>
  <si>
    <t>520</t>
  </si>
  <si>
    <t>Prestar los servicios profesionales apoyando a la Dirección para laGestión del Desarrollo Local DGDL, en las actividades de asistenciatécnica para la ejecución de los proyectos de inversión local queadelantan los Fondos de Desarrollo Local FDL</t>
  </si>
  <si>
    <t>Prestar los servicios profesionales en la Dirección para la Gestión delDesarrollo Local, apoyando jurídicamente las actividades de en laejecución de los proyectos de inversión local que adelantan los Fondosde Desarrollo Local FDL</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</si>
  <si>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</si>
  <si>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profesionales en la Dirección para la Gestión delDesarrollo Local, apoyando técnicamente las actividades de asistenciatécnica en la ejecución de los proyectos de inversión local queadelantan los Fondos de Desarrollo Local - FDL</t>
  </si>
  <si>
    <t>Prestar servicios profesionales en la Subsecretaría de Gestión Localapoyando el seguimiento de los Programas, planes y/o proyectos enejercicio de la coordinación de las alcaldías locales, asignada a laSecretaria Distrital de Gobierno en el marco del artículo 6 del Decreto113 de 2020</t>
  </si>
  <si>
    <t>Prestar servicios profesionales en la Subsecretaría de Gestión Localapoyando el seguimiento y cumplimiento de los Programas, planes y/oproyectos en ejercicio de la coordinación de las alcaldías locales,asignada a la Secretaria Distrital de Gobierno en el marco del artículo6 del Decreto 113 de 2020</t>
  </si>
  <si>
    <t>Prestar los servicios profesionales en la Dirección para la Gestión delDesarrollo Local, apoyando técnicamente la asistencia técnica integraldirigida a los fondos de desarrollo local a través del sistema deinformación</t>
  </si>
  <si>
    <t>Prestar los servicios profesionales especializados a la Dirección parala Gestión del Desarrollo Local - DGDL, en la asistencia técnicaintegral dirigida a los Fondos de Desarrollo Local y los procesos deplaneación y gobernanza</t>
  </si>
  <si>
    <t>Prestar los servicios profesionales para brindar asistencia jurídica ala Dirección para la Gestión del Desarrollo local - FDL en los temasrelacionados en la gestión y seguimiento al cumplimiento de la ejecuciónde los giros y las obligaciones por pagar a cargo de los Fondos deDesarrollo Local FDL</t>
  </si>
  <si>
    <t>Prestar los servicios profesionales en la Dirección para la Gestión delDesarrollo Local, apoyando las actividades de asistencia técnica en laejecución de los proyectos de inversión local que adelantan los Fondosde Desarrollo Local FDL</t>
  </si>
  <si>
    <t>Prestar servicios profesionales especializados a la Subsecretaria deGestión Local para el seguimiento a la implementación del modelo degestión transparente, incluyente, participativo y colaborativo local</t>
  </si>
  <si>
    <t>Prestar los servicios profesionales especializados para asesorar laSubsecretaría de Gestión Local en el acompañamiento técnico en ladefinición&lt;(&gt;,&lt;)&gt; elaboración e implementación de la Estrategia deMitigación y Reactivación de las localidades</t>
  </si>
  <si>
    <t>Prestar los servicios profesionales en la Dirección para la Gestión delDesarrollo Local, apoyando técnicamente a las Localidades, en lasactividades de asistencia técnica para la ejecución de los proyectos deinversión local que adelantan los Fondos de Desarrollo Local FDL</t>
  </si>
  <si>
    <t>Prestar servicios profesionales en la Subsecretaría de Gestión Localpara el acompañamiento contractual para la implementación del modelo degestión transparente, incluyente, participativo y colaborativo local</t>
  </si>
  <si>
    <t>Prestar servicios profesionales en la Subsecretaría de Gestión Localpara el diseño y puesta en marcha de la estrategia de organizacióninterna de operación y funcionamiento de las alcaldías locales</t>
  </si>
  <si>
    <t>Prestar servicios de apoyo a la gestión en la Subsecretaría de GestiónLocal para el acompañamiento contractual para la implementación delmodelo de gestión transparente, incluyente, participativo y colaborativolocal</t>
  </si>
  <si>
    <t>Prestar servicios profesionales en la Subsecretaría de Gestión Local enel marco del fortalecimiento del Observatorio de Gestión Local a travésde la puesta en marcha del Centro de Gobierno Local y sus componentes</t>
  </si>
  <si>
    <t>NICOLAS  SOLORZANO DURAN</t>
  </si>
  <si>
    <t>MATILDE MARIA DAZA DE OROZCO</t>
  </si>
  <si>
    <t>MARIA CAMILA FARFAN LEYVA</t>
  </si>
  <si>
    <t>ERNESTO FABRIZIO ARMELLA VELASQUEZ</t>
  </si>
  <si>
    <t>CARLOS ANDRES GARZON PRIETO</t>
  </si>
  <si>
    <t>MAYERLY EYIVIA CUERVO BAQUERO</t>
  </si>
  <si>
    <t>CARMEN LILIANA ARRIETA ORTIZ</t>
  </si>
  <si>
    <t>NICOLAS RODRIGO AVENDANO RODRIGUEZ</t>
  </si>
  <si>
    <t>DIANA MILDRED LADINO GAMA</t>
  </si>
  <si>
    <t>GUSTAVO ALBERTO FORERO RAMIREZ</t>
  </si>
  <si>
    <t>KATHERINE  VELA VELASCO</t>
  </si>
  <si>
    <t>MARIA FERNANDA AVILA RUIZ</t>
  </si>
  <si>
    <t>CLAUDIA XIMENA CAMACHO CORZO</t>
  </si>
  <si>
    <t>JACQUELINE  FRIEDE VILLAROEL</t>
  </si>
  <si>
    <t>KIARA JULIETH AGUDELO SANCHEZ</t>
  </si>
  <si>
    <t>LAURA DANIELA USECHE ACEVEDO</t>
  </si>
  <si>
    <t>MAURICIO  ORTIZ CORONADO</t>
  </si>
  <si>
    <t>ANDREA DEL PILAR GUTIERREZ PARRA</t>
  </si>
  <si>
    <t>HENRY ANDRES TENORIO ALBAN</t>
  </si>
  <si>
    <t>413</t>
  </si>
  <si>
    <t>445</t>
  </si>
  <si>
    <t>592</t>
  </si>
  <si>
    <t>629</t>
  </si>
  <si>
    <t>621</t>
  </si>
  <si>
    <t>589</t>
  </si>
  <si>
    <t>663</t>
  </si>
  <si>
    <t>400</t>
  </si>
  <si>
    <t>419</t>
  </si>
  <si>
    <t>331</t>
  </si>
  <si>
    <t>420</t>
  </si>
  <si>
    <t>383</t>
  </si>
  <si>
    <t>PRESTAR SERVICIOS PROFESIONALES A LA DIRECCIÓN DE DERECHOS HUMANOS PARA FORTALECER LA COORDINACIÓN DE LA TERRITORIALIZACIÓN DEL SISTEMA DISTRITAL DE DERECHOS HUMANOS Y LA POLÍTICA PÚBLICA INTEGRAL DE DERECHOS HUMANOS EN LAS LOCALIDADES DE BOGOTÁ D.C.</t>
  </si>
  <si>
    <t>Pago de servicios públicos de los inmuebles en donde se encuentran los espacios de atención diferenciada CONFIA y Casa Indígena.  PAGO DEL SERVICIO DE ACUEDUCTO Y ALCANTARILLADO DE CONFIA LA CANDELARIA, UBICADO EN CALLE 9 No. 4-70, PEIODO FACTURADO DICIEMBRE 02 DE 2020 AL 29 DE ENERO DE 2021, SEGÚN FACTURA No. 11532599211.,,</t>
  </si>
  <si>
    <t>PRESTAR SERVICIOS PROFESIONALES A LA DIRECCIÓN DE DERECHOS HUMANOS PARA FORTALECER LA COORDINACIÓN DE LA TERRITORIALIZACIÓN DEL SISTEMA DISTRITAL DE DERECHOS HUMANOS Y LA POLÍTICA PÚBLICA INTEGRAL DE DERECHOS HUMANOS EN LAS LOCALIDADES DE BOGOTÁ D.C</t>
  </si>
  <si>
    <t>Pago de servicios públicos de los inmuebles en donde se encuentran los espacios de atención diferenciada CONFIA y Casa Indígena.  PAGO DEL SERVICIO DE ENERGÍA DE LACASA DEL PENSAMIENTO INDIGENA UBICADA EN LA CALLE 9 No. 9 - 60, PERIODO DE FACTURACIÓN 22 DE ENERO AL 19 DE FEBRERO DE 2021, SEGÚN FACTURAS: 625887884-2 $48.770 Y EL 625887881-0 $170.360.</t>
  </si>
  <si>
    <t>Pago de servicios públicos de los inmuebles en donde se encuentran los espacios de atención diferenciada CONFIA y Casa Indígena  PAGO DEL SERVICIO DE ASEO DE LA CASA DEL PENSAMIENTO INDIGENA, UBICADA EN LA CALLE 9 No. 9-60, PERIODO FACTURADO 28 DE DICIEMBRE DE 2020 AL 27 DE ENERO DE 2021.</t>
  </si>
  <si>
    <t>Pago de servicios públicos de los inmuebles en donde se encuentran los espacios de atención diferenciada CONFIA y Casa Indígena  PAGO DEL SERVICIO DE ENERGÍA DE CONFIA, UBICADO EN LA CALLE 9 No. 4-70, PERIODO FACTURADO 25 DE ENERO AL 24 DE FEBRERO DE 2021, SEGÚN FACTURA No. 626394681-1.</t>
  </si>
  <si>
    <t>Pago de servicios públicos de los inmuebles en donde se encuentran los espacios de atención diferenciada CONFIA y Casa Indígena  PAGO DEL SERVICIO DE ASEO DE CONFIA, UBICADO EN LA CALLE 9 No. 4-70, PERIODO FACTURADO 02 DE ENERO AL 01 DE FEBRERO DE 2021, SEGÚN FACTURA No. 626394681.</t>
  </si>
  <si>
    <t>PRESTAR SERVICIOS PROFESIONALES EN LA DIRECCIÓN DE DERECHOS HUMANOS PARA GARANTIZAR LA IMPLEMENTACIÓN DE LAESTRATEGIA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</si>
  <si>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</si>
  <si>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A LA SECRETARIA DE GOBIERNO PARA LA IMPLEMENTACION DEL PROCESO DE REFORMULACION DE LA POLITICA PUBLICA DE DISCAPACIDAD Y PARA EL DESARROLLO DE LAS FUNCIONES DE LA SECRETARIA TECNICA DISTRITAL DE DISCAPACIDAD.</t>
  </si>
  <si>
    <t>PRESTAR SERVICIOS DE APOYO A LA GESTIÓN A LA SUBDIRECCIÓN DE ASUNTOS ÉTNICOS EN TEMAS RELACIONADOS CON LA POBLACION GITANA EN EL SEGUIMIENTO A LA IMPLEMENTACIÓN DE LOS PLANES DE ACCIONES AFIRMATIVAS PARA GRUPOS ÉTNICOS Y GESTIÓN INTERINSTITUCIONAL DE LOS MISMOS EN CONCERTACIÓN CON LAS POBLACIONES ÉTNICAS</t>
  </si>
  <si>
    <t>PRESTAR SERVICIOS PROFESIONALES EN LA DIRECCIÓN DE DERECHOS HUMANOS PARA GARANTIZAR LA ATENCIÓN PSICOSOCIALREQUERIDA PARA LA IMPLEMENTAICÓN DE LA ESTRATEGIA DE PREVENCIÓN DE VULNERACIONES A LOS DERECHOS A LA VIDA, LIBERTAD&lt;(&gt;,&lt;)&gt; INTEGRIDAD Y SEGURIDAD DE PERSONAS LGBTI, VICTIMAS DEL DELITO DE TRATA DE PERSONAS, LIDERES, LIDERESAS, DEFENSORES Y DEFENSORAS DE DERECHOS HUMANOS QUE DEMANDEN MEDIDAS DE PREVENCIÓN O PROTECCIÓN.</t>
  </si>
  <si>
    <t>PRESTAR LOS SERVICIOS EN LA SUBSECRETARIA PARA LA GOBERNABILIDAD Y LA GARANTIA DE DERECHOS, BRINDANDO APOYO OPERATIVO AL PROCESO DE REFORMULACIÓN DE LA POLÍTICA PÚBLICA DE DISCAPACIDAD DESDE EL NIVEL CENTRAL Y EN EL AMBITO LOCAL.</t>
  </si>
  <si>
    <t>Pago de servicios públicos de los inmuebles en donde se encuentran los espacios de atención diferenciada CONFIA y Casa Indígena  PAGO DEL SERVICIO DE ENERGIA DE CONFIA SAN CRISTOBAL, UBICADO EN LA CRA 3 No. 30 A SUR - 06, PERIODO FACTURADO 04 DE FEBRERO AL 05 DE MARZO DE 2021, SEGÚN FACTURA No. 627529005-8.</t>
  </si>
  <si>
    <t>Pago de servicios públicos de los inmuebles en donde se encuentran los espacios de atención diferenciada CONFIA y Casa Indígena  PAGO DEL SERVICIO DE ASEO DE CONFIA SAN CRISTOBAL, UBICADO EN LA CRA 3 No. 30 A SUR -06, PERIODO FACTURADO 13 DE ENERO AL 12 DE FEBRERO DE 2021, SEGÚN FACTURA No. 627529005-</t>
  </si>
  <si>
    <t>Pago de servicios públicos de los inmuebles en donde se encuentran los espacios de atención diferenciada CONFIA y Casa Indígena  Pago del servicio de energía de confía suba, ubicado en la Diagonal 115 A No. 70D - 95 IN 2 LC 10, periodo facturado 11 de febrero al 12 de marzo de 2021, según factura No. 628388454-7.</t>
  </si>
  <si>
    <t>Pago de servicios públicos de los inmuebles en donde se encuentran los espacios de atención diferenciada CONFIA y Casa Indígena  Pago del servicio de aseo de Confía Suba, ubicado en al Diagonal 115 A No. 70 D - 95 Interior 2 Local 10, periodo facturado 20 de enero al 19 de febrero de 2021, según factura No. 628388454.</t>
  </si>
  <si>
    <t>681</t>
  </si>
  <si>
    <t>648</t>
  </si>
  <si>
    <t>686</t>
  </si>
  <si>
    <t>687</t>
  </si>
  <si>
    <t>653</t>
  </si>
  <si>
    <t>674</t>
  </si>
  <si>
    <t>693</t>
  </si>
  <si>
    <t>692</t>
  </si>
  <si>
    <t>679</t>
  </si>
  <si>
    <t>710</t>
  </si>
  <si>
    <t>709</t>
  </si>
  <si>
    <t>683</t>
  </si>
  <si>
    <t>701</t>
  </si>
  <si>
    <t>721</t>
  </si>
  <si>
    <t>715</t>
  </si>
  <si>
    <t>766</t>
  </si>
  <si>
    <t>725</t>
  </si>
  <si>
    <t>769</t>
  </si>
  <si>
    <t>731</t>
  </si>
  <si>
    <t>744</t>
  </si>
  <si>
    <t>745</t>
  </si>
  <si>
    <t>748</t>
  </si>
  <si>
    <t>749</t>
  </si>
  <si>
    <t>11532599211</t>
  </si>
  <si>
    <t>6258878842</t>
  </si>
  <si>
    <t>625887878</t>
  </si>
  <si>
    <t>6263946811</t>
  </si>
  <si>
    <t>626394681</t>
  </si>
  <si>
    <t>6275290058</t>
  </si>
  <si>
    <t>627529005</t>
  </si>
  <si>
    <t>6283884547</t>
  </si>
  <si>
    <t>628388454</t>
  </si>
  <si>
    <t>JUANA GINETH GODOY HERRAN</t>
  </si>
  <si>
    <t>GERMAN  ESPINEL CORTES</t>
  </si>
  <si>
    <t>JUAN CARLOS BERNAL RIAÑO</t>
  </si>
  <si>
    <t>LEONARDO  MOLINA SALGADO</t>
  </si>
  <si>
    <t>LUZ MARY MARTINEZ CORREA</t>
  </si>
  <si>
    <t>NIDIA PATRICIA MENDEZ TORRES</t>
  </si>
  <si>
    <t>VALERIA TATIANA GOMEZ TOVAR</t>
  </si>
  <si>
    <t>DORA EMILIA PARRA ROBLEDO</t>
  </si>
  <si>
    <t>JULIAN CAMILO ARANA MORENO</t>
  </si>
  <si>
    <t>CARLOS ARMANDO NEME MONTOYA</t>
  </si>
  <si>
    <t>DIANA CAROLINA GUERRERO AGUDELO</t>
  </si>
  <si>
    <t>ALVARO YANKY ZAPATA BARBOSA</t>
  </si>
  <si>
    <t>DIANA MILENA JIMENEZ MORENO</t>
  </si>
  <si>
    <t>LUIS EDUARDO PEREZ BELLO</t>
  </si>
  <si>
    <t>BOGOTA DISTRITO CAPITAL</t>
  </si>
  <si>
    <t>CLAUDIA PATRICIA GOMEZ ORTIZ</t>
  </si>
  <si>
    <t>BETSY YAZMIN GOMEZ FIGUEROA</t>
  </si>
  <si>
    <t>ADRIANA MARIBETH FEDULLO RUMBO</t>
  </si>
  <si>
    <t>NELSON GUSTAVO VACCA BOHORQUEZ</t>
  </si>
  <si>
    <t>LEIDY CAROLINA TORRES HERNANDEZ</t>
  </si>
  <si>
    <t>SAMIR ANDRES GONZALEZ LARGO</t>
  </si>
  <si>
    <t>CAMILO ERNESTO PORTILLA ARIAS</t>
  </si>
  <si>
    <t>YOSEF FABIAN OJEDA LARA</t>
  </si>
  <si>
    <t>673</t>
  </si>
  <si>
    <t>707</t>
  </si>
  <si>
    <t>720</t>
  </si>
  <si>
    <t>676</t>
  </si>
  <si>
    <t>678</t>
  </si>
  <si>
    <t>726</t>
  </si>
  <si>
    <t>684</t>
  </si>
  <si>
    <t>722</t>
  </si>
  <si>
    <t>729</t>
  </si>
  <si>
    <t>712</t>
  </si>
  <si>
    <t>759</t>
  </si>
  <si>
    <t>713</t>
  </si>
  <si>
    <t>760</t>
  </si>
  <si>
    <t>714</t>
  </si>
  <si>
    <t>762</t>
  </si>
  <si>
    <t>724</t>
  </si>
  <si>
    <t>767</t>
  </si>
  <si>
    <t>734</t>
  </si>
  <si>
    <t>761</t>
  </si>
  <si>
    <t>783</t>
  </si>
  <si>
    <t>738</t>
  </si>
  <si>
    <t>Prestar los servicios técnicos a la Dirección para la Gestión Policiva, acompañando actividades de inspección, vigilancia y control -IVC- que efectúen las Alcaldías Locales y/o autoridades de Policía a cargo de la Secretaria Distrital Gobierno.</t>
  </si>
  <si>
    <t>Prestar los servicios profesionales apoyando los procesos funcionales de los sistemas de información a cargo de la Dirección para la Gestión Policiva.</t>
  </si>
  <si>
    <t>CONTRATAR EL ARRENDAMIENTO DE UN BIEN INMUEBLE PARA EL FUNCIONAMIENTO DE LA PERSONERIA LOCAL DE USME</t>
  </si>
  <si>
    <t>Pago de autoliquidación adicional por el ingreso de unos servidores públicos con fecha posterior al cierre de la nómina de febrero de 2021. (Planta de Inversión).</t>
  </si>
  <si>
    <t>Prestar los servicios profesionales para acompañar las actividades de inspección, vigilancia y control que realizan las Alcaldías Locales y/o las Inspecciones de Policía a cargo de la Secretaría Distrital de Gobierno</t>
  </si>
  <si>
    <t>PRESTAR LOS SERVICIOS DE APOYO A LA GESTIÓN PARA LA IMPLEMENTACIÓN DE LOS PROCESOS DE ORGANIZACIÓN ARCHIVISTICA</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</si>
  <si>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</si>
  <si>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TECNICOS EN LA PROYECCION, SEGUIMIENTO Y EJECUCION DE LAS ACTIVIDADES PROPIAS DE LA MISIONALIDAD DE LA DEPENDENCIA.</t>
  </si>
  <si>
    <t>Pago de la nómina general de marzo de 2021 (Planta de Inversión)</t>
  </si>
  <si>
    <t>Pago de cesantías a una servidora pública de la Planta Temporal (JOYCE KATHERINE LARA FIERRO). Planta de Inversión.</t>
  </si>
  <si>
    <t>Prestar sus servicios profesionales como abogada en todos aquellos asuntos relacionados con el trámite de las acciones constitucionales que impetran los ciudadanos y en las que se encuentra vinculada la entidad, y de manera preferente la Subsecretaría de Gestión Local y al ejercicio policivo así como la proyección de actos administrativos que surjan dentro del marco de competencia de la dependencia donde se encuentra asignada.</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</si>
  <si>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</si>
  <si>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profesionales apoyando los procesos funcionales de los sistemas de información a cargo de la Dirección para la Gestión Policiva</t>
  </si>
  <si>
    <t>PRESTAR SUS SERVICIOS PROFESIONALES PARA APOYAR LOS PROCESOS DE GESTIÓN DEL PATRIMONIO DOCUMENTAL REQUERIDOS POR LA SUPERVISIÓN ESPECIALMENTE LOS RELACIONADOS CON ASUNTOS DE INSPECCIÓN, VIGILANCIA Y CONTROL EFECTUADA POR LA SECRETARÍA DISTRITAL DE GOBIERNO.</t>
  </si>
  <si>
    <t>19</t>
  </si>
  <si>
    <t>23</t>
  </si>
  <si>
    <t>24</t>
  </si>
  <si>
    <t>647</t>
  </si>
  <si>
    <t>700</t>
  </si>
  <si>
    <t>694</t>
  </si>
  <si>
    <t>702</t>
  </si>
  <si>
    <t>736</t>
  </si>
  <si>
    <t>690</t>
  </si>
  <si>
    <t>742</t>
  </si>
  <si>
    <t>691</t>
  </si>
  <si>
    <t>743</t>
  </si>
  <si>
    <t>723</t>
  </si>
  <si>
    <t>695</t>
  </si>
  <si>
    <t>696</t>
  </si>
  <si>
    <t>727</t>
  </si>
  <si>
    <t>697</t>
  </si>
  <si>
    <t>698</t>
  </si>
  <si>
    <t>699</t>
  </si>
  <si>
    <t>737</t>
  </si>
  <si>
    <t>705</t>
  </si>
  <si>
    <t>750</t>
  </si>
  <si>
    <t>717</t>
  </si>
  <si>
    <t>733</t>
  </si>
  <si>
    <t>718</t>
  </si>
  <si>
    <t>751</t>
  </si>
  <si>
    <t>765</t>
  </si>
  <si>
    <t>770</t>
  </si>
  <si>
    <t>739</t>
  </si>
  <si>
    <t>741</t>
  </si>
  <si>
    <t>732</t>
  </si>
  <si>
    <t>781</t>
  </si>
  <si>
    <t>747</t>
  </si>
  <si>
    <t>778</t>
  </si>
  <si>
    <t>753</t>
  </si>
  <si>
    <t>779</t>
  </si>
  <si>
    <t>754</t>
  </si>
  <si>
    <t>PRESTAR SERVICIOS PROFESIONALES PARA LA IMPLEMENTACIÓN Y SEGUIMIENTO TÉCNICO Y JURÍDICO A INICIATIVAS DE FORTALECIMIENTO A LA PARTICIPACIÓN CIUDADANA.</t>
  </si>
  <si>
    <t>PRESTAR SERVICIOS PROFESIONALES PARA LA PUESTA EN MARCHA DEL OBSERVATORIO DE CONFLICTIVIDAD SOCIAL POR MEDIO DEL DESARROLLO METODOLÓGICO, TÉCNICO, ACADÉMICO O TECNOLÓGICO DE LOS COMPONENTES ASIGNADOS, APOYAR A LA DIRECCIÓN EN LOS TEMAS RELACIONADOS CON LA CONVIVENCIA, DIÁLOGO SOCIAL Y PROTESTAS SOCIALES</t>
  </si>
  <si>
    <t>PRESTAR SERVICIOS PROFESIONALES PARA LA PUESTA EN MARCHA DEL OBSERVATORIO DE CONFLICTIVIDAD SOCIAL POR MEDIO DELDESARROLLO METODOLÓGICO, TÉCNICO, ACADÉMICO O TECNOLÓGICO DE LOS COMPONENTES ASIGNADOS, APOYAR A LA DIRECCIÓN EN LOS TEMAS RELACIONADOS CON LA CONVIVENCIA, DIÁLOGO SOCIAL Y PROTESTAS SOCIALES</t>
  </si>
  <si>
    <t>Solicitud CDP de ARL Dirección de Convivencia y Dialogo Social, mediante memorado 20213000005353.  PAGO DE LA ARL DE LOS CONTRATISTAS CON RIESGO V, DEL MES DE FEBRERO DE 2021, PLANILLA 49215947.</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</si>
  <si>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</si>
  <si>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</si>
  <si>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</si>
  <si>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Aunar esfuerzos técnicos, administrativos, operativos y financieros para realizar la recopilación, recolección y análisis de las conflictividades, hechos violentos y demandas ciudadanas en Bogotá, que permitan contar con desarrollos conceptuales, metodológicos, sugerencias institucionales e inclusión de estándares internacionales en materia de DDHH, en particular para el goce efectivo a la movilización y la protesta pacífica, contribuyendo a la construcción de una sociedad basada en la confianza, la legitimidad para vivir sin miedo y la promoción de una cultura ciudadana de paz y reconciliación</t>
  </si>
  <si>
    <t>PRESTAR LOS SERVICIOS DE APOYO A LA GESTIÓN A LA DIRECCIÓN DE CONVIVENCIA Y DIÁLOGO SOCIAL PARA BRINDAR ACOMPAÑAMIENTO EN LOS PROCESOS DE CONFLICTIVIDAD SOCIAL, MOVILIZACIÓN CIUDADANA, AGLOMERACIONES, APOYAR LAIMPLEMENTACIÓN DE ACCIONES DE DIÁLOGO Y PREVENCIÓN QUE SE REQUIERAN EN MATERIA GOBERNABILIDAD, ASISTIR LOS TEMASRELACIONADOS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</si>
  <si>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</si>
  <si>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LAIMPLEMENTACIÓN DE ACCIONES DE DIÁLOGO Y PREVENCIÓN QUE SE REQUIERAN EN MATERIA GOBERNABILIDAD, ASISTIR LOS TEMAS 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</si>
  <si>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LAIMPLEMENTACIÓN DE ACCIONES DE DIÁLOGO Y PREVENCIÓN QUE SE REQUIERAN EN MATERIA GOBERNABILIDAD, ASISTIR LOS TEMAS RELACIONADOS CON LA CONVIVENCIA, DIÁLOGO SOCIAL Y PROTESTA</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</si>
  <si>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</si>
  <si>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</si>
  <si>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a la Secretaría Distrital de Gobierno para adelantar las actividades relacionadas con las políticas de prevención del daño antijuridico y de defensa jurídica del Modelo Integrado de Planeación y Gestión (MIPG), así como las acciones de representación judicial y extrajudicial de la entidad, y demás actividades que se requieran.</t>
  </si>
  <si>
    <t>PRESTAR SERVICIOS DE APOYO A LA GESTIÓN PARA LA PROMOCIÓN DE LA SANA CONESTADIO A TRAVÉS DEL PROGRAMA DE BARRISMO SOCIAL, ASISTIR LOS TEMAS RELAPROTESTAS</t>
  </si>
  <si>
    <t>JUANA MARIA CAYCEDO LOPEZ</t>
  </si>
  <si>
    <t>LIBIA MERCEDES CALDERON CRUZ</t>
  </si>
  <si>
    <t>DANIEL ANDRES ARISMENDI BARRERA</t>
  </si>
  <si>
    <t>JOHAN STIVEN ACOSTA TRUJILLO</t>
  </si>
  <si>
    <t>RONAL ESNEIDER CASTIBLANCO MACA</t>
  </si>
  <si>
    <t>JENNYFER  ARIAS MOLINA</t>
  </si>
  <si>
    <t>SANDRA JANNETH VALENCIA LONDOÑO</t>
  </si>
  <si>
    <t>JHON JAMES GIRON DIAZ</t>
  </si>
  <si>
    <t>PROGRAMA DE LAS NACIONES UNIDAS PARA EL DESARROLLO</t>
  </si>
  <si>
    <t>MANUELA  NARVAEZ BLANCO</t>
  </si>
  <si>
    <t>WILSON JAVIER MAHECHA</t>
  </si>
  <si>
    <t>JEISSON DANIEL POSADA PEÑA</t>
  </si>
  <si>
    <t>SAMUEL GUILLERMO CEPEDA CASTRO</t>
  </si>
  <si>
    <t>JOHN FREDY BARBOSA SALGADO</t>
  </si>
  <si>
    <t>MARIA VICTORIA RAMOS RENGIFO</t>
  </si>
  <si>
    <t>ANGIE NATALIA MEDINA LEON</t>
  </si>
  <si>
    <t>JUAN DAVID RODRIGUEZ FAJARDO</t>
  </si>
  <si>
    <t>SAMUEL  BAUTISTA PEÑA</t>
  </si>
  <si>
    <t>HERNAN REYNALDO ALVARADO URREGO</t>
  </si>
  <si>
    <t>LUIS CAMILO RINCON JIMENEZ</t>
  </si>
  <si>
    <t>MARIA ALEJANDRA TORRES SOLER</t>
  </si>
  <si>
    <t>MICHAEL ADOLFO MARIN CALDERON</t>
  </si>
  <si>
    <t>JOSE DANIEL CAMARGO URIBE</t>
  </si>
  <si>
    <t>LEIDY ALEJANDRA RAMIREZ SANCHEZ</t>
  </si>
  <si>
    <t>YEIMI NATALIA RODRIGUEZ SIERRA</t>
  </si>
  <si>
    <t>JESSICA  POVEDA SUAREZ</t>
  </si>
  <si>
    <t>EDGAR JHONNATAM BELEÑO GARCIA</t>
  </si>
  <si>
    <t>49215947</t>
  </si>
  <si>
    <t>649</t>
  </si>
  <si>
    <t>RAFAEL ILICH FONTALVO DE LA BARRERA</t>
  </si>
  <si>
    <t>GUSTAVO ADOLFO GUZMAN MORA</t>
  </si>
  <si>
    <t>NATHALI  RODRIGUEZ ORDUZ</t>
  </si>
  <si>
    <t>ARLEY DARIO BASTIDAS BILBAO</t>
  </si>
  <si>
    <t>ERIKA BEATRIZ CUBILLOS QUINTERO</t>
  </si>
  <si>
    <t>VANESSA  SAENZ AYERBE</t>
  </si>
  <si>
    <t>LAURA  ARCINIEGAS RESTREPO</t>
  </si>
  <si>
    <t>MARCEILI VIVIANA RIAÑO MARROQUIN</t>
  </si>
  <si>
    <t>JAIRO ANDRES SILVA MUÑOZ</t>
  </si>
  <si>
    <t>Prestar los servicios profesionales en la subsecretaría para la gobernabilidad y la garantía de derechos para apoyar en la gestión de las acciones administrativas, financieras y misionales de la Subsecretaría, en especial las enmarcadas en los proyectos de inversión a cargo de la Subsecretaría</t>
  </si>
  <si>
    <t>Prestar los servicios profesionales para procesos de comunicación con la ciudadanía y planeación participativa, en el marco del desarrollo de mecanismos y herramientas de participación ciudadana</t>
  </si>
  <si>
    <t>Prestar servicio de apoyo a la gestión a los temas de carácter administrativo, de gestión y/u operativo requeridos en la plataforma de Gobierno abierto, en el marco de la implementación de la estrategia de Presupuestos Participativos y gobierno abierto</t>
  </si>
  <si>
    <t>Prestar los servicios profesionales especializados para la planeación y presupuestación participativa, así como el desarrollo de mecanismos de participación ciudadana en el marco de la estrategia de Gobierno Abierto</t>
  </si>
  <si>
    <t>Prestar servicios profesionales para el acompañamiento técnico a la implementación de procesos y herramientas de participación ciudadana en el ámbito local, en el marco de la estrategia de gobierno abierto.</t>
  </si>
  <si>
    <t>Prestar servicios profesionales en la Subsecretaría para la Gobernabilidad y la Garantía de Derechos para apoyar la estructuración e  implementación del laboratorio de innovación social sobre gobernabilidad social, derechos humanos y participación ciudadana.</t>
  </si>
  <si>
    <t>Prestar servicios de apoyo a la gestión a la Subsecretaría de GobernabilSecretaria Distrital de Gobierno para la promoción y divulgación de la estrategia de participación digital como parte integral de Gobierno.</t>
  </si>
  <si>
    <t>PRESTAR LOS SERVICIOS PROFESIONALES ESPECIALIZADOS A LA SUBSECRETARÍA PADERECHOS EN LA PUESTA EN MARCHA DEL LABORATORIO DE INNOVACIÓN SOCIAL EN PROGRAMAS, PROYECTOS Y ACTIVIDADES MISIONALES DE LA SUBSECRETARÍA Y SUS DEPENDENCIAS ADSCRITAS.</t>
  </si>
  <si>
    <t>652</t>
  </si>
  <si>
    <t>728</t>
  </si>
  <si>
    <t>689</t>
  </si>
  <si>
    <t>711</t>
  </si>
  <si>
    <t>716</t>
  </si>
  <si>
    <t>746</t>
  </si>
  <si>
    <t>776</t>
  </si>
  <si>
    <t>777</t>
  </si>
  <si>
    <t>740</t>
  </si>
  <si>
    <t>582</t>
  </si>
  <si>
    <t>MIRYAM IVETTE NARANJO MOLINA</t>
  </si>
  <si>
    <t>Prestar los servicios profesionales para realizar la elaboración de  documentos e informes, así como el acompañamiento y apoyo a las, mesas sesiones de las Comisiones Permanentes y la Plenaria,, mesas de trabajo foros, comisiones accidentales y audiencias, adelantadas por el Concejo de Bogotá, atendiendo lo establecido en la normatividad vigente y los procesos y procedimientos que tenga adoptados la Secretaría Distrital.</t>
  </si>
  <si>
    <t>784</t>
  </si>
  <si>
    <t>752</t>
  </si>
  <si>
    <t>JOHANNA CATALINA PINZON PERDOMO</t>
  </si>
  <si>
    <t>ALI MILENA DIAZ RANGEL</t>
  </si>
  <si>
    <t>MARIA ALEJANDRA MALAGON QUINTERO</t>
  </si>
  <si>
    <t>CRHISTIAN ALEXIS SANDOVAL GARCIA</t>
  </si>
  <si>
    <t>UNION TEMPORAL RENOVACION 2021</t>
  </si>
  <si>
    <t>SECURITY VIDEO EQUIPMENT SAS</t>
  </si>
  <si>
    <t>UBIQUOM SA</t>
  </si>
  <si>
    <t>PRESTAR LOS SERVICIOS PROFESIONALES EN LOS PROCESOS DE GESTION DEL PATRIMONIO DOCUMENTAL DE LA DIRECCIÓN ADMINISTRATIVA</t>
  </si>
  <si>
    <t>Prestar servicios profesionales en la Oficina Asesora de Comunicaciones en la graficación, producción, diagramación de contenidos, realización de piezas gráficas y conceptualización, sobre los proyectos de la Secretaria Distrital de Gobierno</t>
  </si>
  <si>
    <t>PRESTAR SUS SERVICIOS PROFESIONALES EN LA CONSERVACIÓN Y RESTAURACIÓN DEL PATRIMONIO DOCUMENTAL DE LA SECRETARIA DISTRITAL DE GOBIERNO</t>
  </si>
  <si>
    <t>Prestar los servicios profesionales para apoyar a la oficina asesora de comunicaciones en la formulación, implementación, y el desarrollo de nuevos productos periodísticos multimedia y de la gestión de la Secretaria Distrital de Gobierno</t>
  </si>
  <si>
    <t>RENOVACION DE LICENCIAMIENTO, SOPORTE Y GARANTIA DE LA INFRAESTRUCTURA DE SEGURIDAD (FORTINET) Y FORTALECIMIENTO DELA INFRAESTRUCTURA DE SEGURIDAD PARA EL TRABAJO INTELIGENTE DE LA SECRETARIA DE GOBIERNO DISTRITAL</t>
  </si>
  <si>
    <t>Adquirir equipos y elementos de almacenamiento para apoyar el adecuado desarrollo de la producción audiovisual a cargo de la Oficina Asesora de Comunicaciones de la Secretaría Distrital de Gobierno</t>
  </si>
  <si>
    <t>REALIZAR LA ADICIÓN DEL CONTRATO DEL CONTRATO 1001 DE 2020 SUSCRITO ENTRE LA SECRETARIA DISTRITAL DE GOBIERNO Y UBIQUOM S.A.S</t>
  </si>
  <si>
    <t>654</t>
  </si>
  <si>
    <t>703</t>
  </si>
  <si>
    <t>704</t>
  </si>
  <si>
    <t>764</t>
  </si>
  <si>
    <t>1001</t>
  </si>
  <si>
    <t>KAREN LUCIA MOLANO GRANADOS</t>
  </si>
  <si>
    <t>RUBI ESMERALDA CASTILLO ZULUAGA</t>
  </si>
  <si>
    <t>MARIA CAMILA GAONA CARDONA</t>
  </si>
  <si>
    <t>SHEARLEY ISLENA DURKEY BORDA BAQUERO</t>
  </si>
  <si>
    <t>Prestación de servicios profesionales a la Subsecretaria de Gestión Local para la implementación del Sistema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</si>
  <si>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</si>
  <si>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FDL.</t>
  </si>
  <si>
    <t>Prestar los servicios profesionales en la Subsecretaría de Gestión Local para el acompañamiento técnico en la definición, elaboración e implementación de la Estrategia de Mitigación y Reactivación de las localidades</t>
  </si>
  <si>
    <t>Prestar los servicios profesionales en la Dirección para la Gestión del requerimientos ciudadanos, entidades y entes de control en el marco de lDGDL</t>
  </si>
  <si>
    <t>685</t>
  </si>
  <si>
    <t>730</t>
  </si>
  <si>
    <t>775</t>
  </si>
  <si>
    <t>787</t>
  </si>
  <si>
    <t>802</t>
  </si>
  <si>
    <t>785</t>
  </si>
  <si>
    <t>786</t>
  </si>
  <si>
    <t>809</t>
  </si>
  <si>
    <t>791</t>
  </si>
  <si>
    <t>803</t>
  </si>
  <si>
    <t>792</t>
  </si>
  <si>
    <t>801</t>
  </si>
  <si>
    <t>793</t>
  </si>
  <si>
    <t>804</t>
  </si>
  <si>
    <t>807</t>
  </si>
  <si>
    <t>808</t>
  </si>
  <si>
    <t>841</t>
  </si>
  <si>
    <t>834</t>
  </si>
  <si>
    <t>671</t>
  </si>
  <si>
    <t>835</t>
  </si>
  <si>
    <t>842</t>
  </si>
  <si>
    <t>848</t>
  </si>
  <si>
    <t>852</t>
  </si>
  <si>
    <t>853</t>
  </si>
  <si>
    <t>854</t>
  </si>
  <si>
    <t>897</t>
  </si>
  <si>
    <t>862</t>
  </si>
  <si>
    <t>629464401</t>
  </si>
  <si>
    <t>629464394</t>
  </si>
  <si>
    <t>670</t>
  </si>
  <si>
    <t>6299873481</t>
  </si>
  <si>
    <t>629987348</t>
  </si>
  <si>
    <t>6311045438</t>
  </si>
  <si>
    <t>631104543</t>
  </si>
  <si>
    <t>10427</t>
  </si>
  <si>
    <t>34414781319</t>
  </si>
  <si>
    <t>6319824601</t>
  </si>
  <si>
    <t>631982460</t>
  </si>
  <si>
    <t>468-2020</t>
  </si>
  <si>
    <t>ALEJANDRA GEMA PARRA CISTERNAS</t>
  </si>
  <si>
    <t>LUIS EDUARDO PERICO ROJAS</t>
  </si>
  <si>
    <t>YODIRLANDY  PALECHOR SALAZAR</t>
  </si>
  <si>
    <t>SANDRA HELEANNE RIASCOS RIVAS</t>
  </si>
  <si>
    <t>ANGIE VIVIANA GAITAN PASITO</t>
  </si>
  <si>
    <t>MARIA INES REINA</t>
  </si>
  <si>
    <t>OLGA LUCIA DIAZ RODRIGUEZ</t>
  </si>
  <si>
    <t>UNION TEMPORAL TRANSPORTRES BOGOTA</t>
  </si>
  <si>
    <t>JOHN HENRY ARBOLEDA QUIÑONEZ</t>
  </si>
  <si>
    <t>Prestar los servicios artisticos como editor de los contenidos audiovisuales de comunicación con el ciudadano en la Subsecretaría de Gobernabilidad.</t>
  </si>
  <si>
    <t>Pago de servicios públicos de los inmuebles en donde se encuentran los espacios de atención diferenciada CONFIA y Casa Indígena.  Pago del servicio de energía de la Casa del Pensamiento Indígena, ubicada en la Calle 9 No. 9-60, periodo de facturación del 19 de febrero de 2021 al 23 de marzo de 2021, según facturas No. 62964401 $196.640 y la 629464404 $45.470.</t>
  </si>
  <si>
    <t>Pago de servicios públicos de los inmuebles en donde se encuentran los espacios de atención diferenciada CONFIA y Casa Indígena  Pago del servicio de aseo de la Casa del Pensamiento Indígena, ubicada en la Calle 9 No. 9-60, periodo de facturación 28 de enero de 2021 al 27 de febrero de 2021; según facturas:  629464394      $55.360 629464393      $55.360 629464392      $55.360 629464395      $55.360 629464396      $55.360 629464398      $55.360 629464399      $55.360 629464401      $55.500 629464397      $55.360</t>
  </si>
  <si>
    <t>Prestar servicios profesionales para el desarrollo en las fases del ciclo de la política pública de los Derechos de los AFRODECENDIENTES</t>
  </si>
  <si>
    <t>Pago de servicios públicos de los inmuebles en donde se encuentran los espacios de atención diferenciada CONFIA y Casa Indígena.  Pago del servicio de energía de Confía la Candelaria, ubicada en la Calle 9 No. 4-70, periodo facturado del 24 de febrero al 26 de marzo de 2021, según factura No. 629987348-1</t>
  </si>
  <si>
    <t>Pago de servicios públicos de los inmuebles en donde se encuentran los espacios de atención diferenciada CONFIA y Casa Indígena  Pago del servicio de aseo de Confía la Candelaria, ubicada en la Calle 9 No. 4-70, periodo facturado 02 de febrero al 01 de marzo de 2021, según factura No. 629987348.</t>
  </si>
  <si>
    <t>Prestar servicios profesionales en la subdirección de asuntos étnicos s en temas relacionados con la población negra, afrocolombiana, raizal y palenquera en el seguimiento a la implementación de los planes de acciones afirmativas para grupos étnicos y gestión interinstitucionalde los mismos en concertación con las poblaciones étnicas.</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</si>
  <si>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</si>
  <si>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Prestar servicios profesionales para el desarrollo en las fases del ciclo de la política pública para los Pueblos Indígenas en Bogotá.</t>
  </si>
  <si>
    <t>PRESTAR SERVICIOS PROFESIONALES EN LA SUBDIRECCIÓN DE ASUNTOS ÉTNICOS EN TEMAS RELACIONADOS CON LOS PUEBLOS INDÍGENAS EN EL SEGUIMIENTO A LA IMPLEMENTACIÓN DE LOS PLANES DE ACCIONES AFIRMATIVAS PARA GRUPOS ÉTNICOS Y GESTIÓN INTERINSTITUCIONAL DE LOS MISMOS EN CONCERTACIÓN CON LAS POBLACIONES ÉTNICAS.</t>
  </si>
  <si>
    <t>Pago de servicios públicos de los inmuebles en donde se encuentran los espacios de atención diferenciada CONFIA y Casa Indígena  Pago del servicio de energía de Confía ubicado en la Carrera 3 No. 30 a Sur 06, periodo facturado 06 de marzo al 07 de abril de 2021, según factura No. 6311045438.</t>
  </si>
  <si>
    <t>Pago de servicios públicos de los inmuebles en donde se encuentran los espacios de atención diferenciada CONFIA y Casa Indígena  Pago del servicio de aseo de Confía, ubicado en la Carrera 3 No, 39 a sur 06, periodo facturado 13 de febrero al 12 de marzo de 2021, según factura No. 631104543.</t>
  </si>
  <si>
    <t>Prestar servicios profesionales para el desarrollo de las fases del ciclo de la política pública para la Lucha contra la Trata de Personas en Bogotá</t>
  </si>
  <si>
    <t>Prestación del servicio de transporte público terrestre automotor especial para las dependencias del nivel central de la Secretaría Distrital de Gobierno</t>
  </si>
  <si>
    <t>Pago de servicios públicos de los inmuebles en donde se encuentran los espacios de atención diferenciada CONFIA y Casa Indígena.  Pago de la Administración del Centro de orientación y Fortalecimiento Integral Afro bogotano - CONFIA SUBA, ubicado en la diagonal 115 a No. 70d - 95 Int 2, periodo facturado Febre, Marzo y Abril de 2021, según cuenta de cobro 10427.</t>
  </si>
  <si>
    <t>PRESTAR SERVICIOS PROFESIONALES PARA REALIZAR LA GESTIÓN TÉCNICA PARA LA FORMULACIÓN, REFORMULACIÓN E IMPLEMENTACIÓN DE LAS POLÍTICAS PÚBLICAS ÉTNICAS</t>
  </si>
  <si>
    <t>Pago de servicios públicos de los inmuebles en donde se encuentran los espacios de atención diferenciada CONFIA y Casa Indígena  Pago del servicio de Acueducto y Alcantarillado del Centro Confía Suba, ubicado en Diagonal 115A No. 70D 95LC 10, periodo facturado del 10 de diciembre de 2020 al 06 de febrero de 2021, según factura No. 34414781319.</t>
  </si>
  <si>
    <t>Pago de servicios públicos de los inmuebles en donde se encuentran los espacios de atención diferenciada CONFIA y Casa Indígena  Pago del servicio de energía de Confía de Suba, ubicado en la Diagonal 115 A No. 70 D 95 In 2 Lc 10, periodo facturado 12 de marzo de 2021 al 14 de abril de 2021, según factura No. 631982460-1.</t>
  </si>
  <si>
    <t>Pago de servicios públicos de los inmuebles en donde se encuentran los espacios de atención diferenciada CONFIA y Casa Indígena  Pago del servicio de aseo del Confía Suba, ubicado en la Diagonal 115 A No. 70D 95 In 2 Lc 10, periodo facturado 20 de febrero al 19 de marzo de 2021, según factura No. 631982460.</t>
  </si>
  <si>
    <t>REALIZAR LA MODIFICACION NO. 6 - ADICION NO. 3 Y PRORROGA NO. 3 DEL CONTRATO 468 DE 2020 SUSCRITO ENTRE LA SECRETARIA DISTRITAL DE GOBIERNO Y CRUZ ROJA COLOMBIANA SECCIONAL CUNDINAMARCA Y BOGOTA</t>
  </si>
  <si>
    <t>772</t>
  </si>
  <si>
    <t>755</t>
  </si>
  <si>
    <t>757</t>
  </si>
  <si>
    <t>798</t>
  </si>
  <si>
    <t>815</t>
  </si>
  <si>
    <t>789</t>
  </si>
  <si>
    <t>816</t>
  </si>
  <si>
    <t>790</t>
  </si>
  <si>
    <t>827</t>
  </si>
  <si>
    <t>805</t>
  </si>
  <si>
    <t>828</t>
  </si>
  <si>
    <t>822</t>
  </si>
  <si>
    <t>832</t>
  </si>
  <si>
    <t>823</t>
  </si>
  <si>
    <t>825</t>
  </si>
  <si>
    <t>837</t>
  </si>
  <si>
    <t>826</t>
  </si>
  <si>
    <t>836</t>
  </si>
  <si>
    <t>840</t>
  </si>
  <si>
    <t>831</t>
  </si>
  <si>
    <t>844</t>
  </si>
  <si>
    <t>833</t>
  </si>
  <si>
    <t>829</t>
  </si>
  <si>
    <t>859</t>
  </si>
  <si>
    <t>849</t>
  </si>
  <si>
    <t>866</t>
  </si>
  <si>
    <t>850</t>
  </si>
  <si>
    <t>865</t>
  </si>
  <si>
    <t>856</t>
  </si>
  <si>
    <t>874</t>
  </si>
  <si>
    <t>REALIZAR LA ADQUISICIÓN DE 350 LICENCIAS PERPETUAS NOMBRADAS BIZAGI, UN PAQUETE DE SOPORTE PREMIUM ESPECIALIZADO, LA RENOVACIÓN DE MANTENIMIENTO DE LICENCIAS EXISTENTES (400 DE USUARIO NOMBRADO, 1000 INICIADORAS) Y SOPORTE PREMIUM BRONCE POR UN AÑO PARA LA PLATAFORMA BIZAGI DE LA SECRETARIA DISTRITAL DE GOBIERNO</t>
  </si>
  <si>
    <t>Prestar servicios profesionales en los aspectos jurídicos y legales que  requieran los procesos misionales y administrativos que se adelantan en la Secretaría Distrital de Gobierno.</t>
  </si>
  <si>
    <t>Pago de la nómina del retroactivo de 2021 (Planta de Inversión).#</t>
  </si>
  <si>
    <t>Solicitud CDP de ARL Subsecretaria de Gestión Local mediante memorado 20212000068953  Pago de la ARL a los contratistas con el nivel de riesgo V, del mes de marzo de 2021.</t>
  </si>
  <si>
    <t>ADICION Y PRORROGA CONTRATO 851 DE 2020</t>
  </si>
  <si>
    <t>Pago de autoliquidación adicional por el ingreso funcionarios con post erioridad al cierre de la nómina de marzo de 2021. (Planta de Inversión)</t>
  </si>
  <si>
    <t>Pago de la autoliquidación de la nómina general de marzo 2021 (planta deinversio).</t>
  </si>
  <si>
    <t>Prestar servicios profesionales en la Subsecretaría de Gestión Local para la implementación de los planes, programas y estrategias  propias de la misionalidad de la dependencia.</t>
  </si>
  <si>
    <t>Prestar los servicios profesionales para apoyar en la coordinación de los planes, programas y proyectos así como de temas estratégicos en  en especial los relacionados con el fortalecimiento de la convivencia  a cargo de la SDG en el distrito capital Bogotá.</t>
  </si>
  <si>
    <t>Prestar los servicios profesionales para la respuesta a las proposiciones  y demás solicitudes por las diferentes entidades del distrito capital asicomo las de las corporaciones públicas</t>
  </si>
  <si>
    <t>PRESTAR LOS SERVICIOS DE APOYO A LA GESTIÓN EN LOS ASUNTOS QUE REQUIERAN LOS PROCESOS MISIONALES Y ADMINISTRATIVOS QUE SE ADELANTAN Y QUE SEAN SOLICITADOS POR LA SUPERVISIÓN.</t>
  </si>
  <si>
    <t>Prestar los servicios profesionales a la Secretaría Distrital de Gobierno para adelantar actividades relacionadas con las políticas de prevencion del año antijurídico y de defensa jurídica del Modelo Integrado de  Planeación y Gestión (MIPG), así como las acciones de representación judicial y extrajudicial de la entidad de manera preferente  para los asuntos relacionados con la Subsecretaría de Gestión local.</t>
  </si>
  <si>
    <t>Pago de cesantías a un servidor público retirado. (Planta de Inversión).</t>
  </si>
  <si>
    <t>Pago de la nómina general de abril de 2021. (Planta de Inversión).</t>
  </si>
  <si>
    <t>Prestar los servicios profesionales a la Dirección para la Gestión Policiva con la finalidad de formular, diseñar e implementar un plan para medición de las estrategias culturales de la DGP.</t>
  </si>
  <si>
    <t>Prestar servicios profesionales jurídicos en la Subsecretaría de Gestión Local para apoyar la coordinación de la intervención y seguimiento de asuntos relacionados con el uso del espacio público y la prevención de las ocupaciones ilegales en el marco de la estrategia definida por la Subsecretaría</t>
  </si>
  <si>
    <t>Prestar los servicios profesionales especializados para adelantar r los desarrollos necesarios para estabilizar la herramienta ARCO O en su relación funcional.</t>
  </si>
  <si>
    <t>PRESTAR LOS SERVICIOS PARA APOYAR LA GESTION DE LOS PLANES PROGRAMAS Y PROYECTOS QUE SE ADELANTAN EN LA SECRETARÍA DISTRITAL DE GOBIERNO ESPECIALMENTE LOS RELACIONADOS CON EL FORTALECIMIENTO DE LA CONVIVENCIA</t>
  </si>
  <si>
    <t>Prestar los servicios profesionales para el análisis de información para el proceso de gestión del conocimiento, en apoyo al nivel Local en especial lo relacionado con el fortalecimiento de la convivencia.</t>
  </si>
  <si>
    <t>Prestar los servicios de apoyo a la gestión en la Secretaría de Gobierno en todos los asuntos relacionados con la entrega oportuna de correspondencia que se generen al interior de la dependencia donde se encuentre asignada.</t>
  </si>
  <si>
    <t>Prestar los servicios profesionales para asesorar a la Dirección para la Gestión Policiva en las acciones que se toman por parte de la Secretaria Distrital de Gobierno, ante los comportamientos contrarios a la convivencia, en la estructuración, formulación y actualización de la estrategia de prevención de comportamientos contrarios a la convivencia.</t>
  </si>
  <si>
    <t>BIZAGI LATAM S A S</t>
  </si>
  <si>
    <t>CLAUDIA PATRICIA AHUMADA SABALZA</t>
  </si>
  <si>
    <t>CARLOS EDUARDO CASTAÑEDA ALVARADO</t>
  </si>
  <si>
    <t>PEDRO JOSE ARDILA TELLEZ</t>
  </si>
  <si>
    <t>DANIEL ALEJANDRO ALVAREZ COTRINO</t>
  </si>
  <si>
    <t>JUAN CARLOS BECERRA GUZMAN</t>
  </si>
  <si>
    <t>MIGUEL ANGEL PINTO RUEDA</t>
  </si>
  <si>
    <t>ALEXANDER  COTTE POVEDA</t>
  </si>
  <si>
    <t>RAFAEL SANTIAGO LAVERDE BENITEZ</t>
  </si>
  <si>
    <t>FRANK YOJAN PANTOJA BARRERA</t>
  </si>
  <si>
    <t>DIEGO ANDRES GOMEZ NISPERUZA</t>
  </si>
  <si>
    <t>ANGIE LORENA SIERRA ARIZA</t>
  </si>
  <si>
    <t>JORGE EDUARDO TORRES CAMARGO</t>
  </si>
  <si>
    <t>49778327</t>
  </si>
  <si>
    <t>30</t>
  </si>
  <si>
    <t>32</t>
  </si>
  <si>
    <t>688</t>
  </si>
  <si>
    <t>708</t>
  </si>
  <si>
    <t>706</t>
  </si>
  <si>
    <t>758</t>
  </si>
  <si>
    <t>774</t>
  </si>
  <si>
    <t>794</t>
  </si>
  <si>
    <t>782</t>
  </si>
  <si>
    <t>800</t>
  </si>
  <si>
    <t>845</t>
  </si>
  <si>
    <t>855</t>
  </si>
  <si>
    <t>857</t>
  </si>
  <si>
    <t>49778784</t>
  </si>
  <si>
    <t>PRESTAR SERVICIOS DE APOYO A LA GESTIÓN PARA LA PROMOCIÓN DE LA SANA CONVIVENCIA EN EL FÚTBOL DENTRO Y FUERA DEL ESTADIO A TRAVÉS DEL PROGRAMA DE BARRISMO SOCIAL, ASISTIR LOS ASISTIR LOS TEMAS RELACIONADOS CON LA CONVIVENCIA, DIALOGO SOCIAL Y PROTESTAS</t>
  </si>
  <si>
    <t>PRESTAR SERVICIOS DE APOYO A LA GESTIÓN PARA LA PROMOCIÓN DE LA SANA CONVIVENCIA EN EL FÚTBOL DENTRO Y FUERA DEL ESTADIO A TRAVÉS DEL PROGRAMA DE BARRISMO SOCIAL, ASISTIR LOS TEMAS RELACIONADOS CON LA CONVIVENCIA, DIALOGO SOCIAL Y PROTESTAS.</t>
  </si>
  <si>
    <t>Solicitud CDP de ARL Dirección de Convivencia y Dialogo Social, mediante memorado 20213000005353.  Pago ARL del mes de marzo de 2021 de los contratistas riesgos v, según planilla 49778784.</t>
  </si>
  <si>
    <t>Solicitud CDP de ARL Dirección de Convivencia y Dialogo Social, mediante memorado 20213000005353  Pago ARL a los contratistas con riesgo V, del mes de marzo de 2021, según planilla 49778327.</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</si>
  <si>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</si>
  <si>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N QUE SE REQUIERAN EN MATERIA GOBERNABILIDAD, ASISTIR LOS TEMAS# RELACIONADOS CON LA CONVIVENCIA, DIÁLOGO SOCIAL Y PROTESTAS.</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</si>
  <si>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</si>
  <si>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profesionales a la Secretaría Distrital de Gobierno para adelantar las actividades relacionadas con las políticas de prevención del daño antijuridico y de defensa jurídica del Modelo Integrado de Planeación y Gestión (MIPG), así como las acciones de representación judicial y extrajudicial dela entidad, y demás actividades que se requieran.</t>
  </si>
  <si>
    <t>PRESTAR SERVICIOS DE APOYO A LA GESTIÓN PARA EL DESARROLLO DE LAS ACTIVIDADES DERIVADAS DE LOS PROCESOS DE GESTIÓN DEL PATRIMONIO DOCUMENTAL</t>
  </si>
  <si>
    <t>PRESTAR LOS SERVICIOS DE APOYO A LA GESTIÓN EN LA IMPLEMENTACIÓN DE LOS PROCESOS DE ORGANIZACION ARCHIVISTICA</t>
  </si>
  <si>
    <t>FREDY ALEXANDER ROMERO GONZALEZ</t>
  </si>
  <si>
    <t>CLAUDIA VIVIANA OSPINA VASQUEZ</t>
  </si>
  <si>
    <t>JOHN EDINSON RAMIREZ BAUTISTA</t>
  </si>
  <si>
    <t>SANTIAGO  ROMERO VANEGAS</t>
  </si>
  <si>
    <t>OSCAR DAVID PATERNINA NEITA</t>
  </si>
  <si>
    <t>PAOLA ANDREA MATTA BERNAL</t>
  </si>
  <si>
    <t>PACIANO  ASPRILLA ARBOLEDA</t>
  </si>
  <si>
    <t>756</t>
  </si>
  <si>
    <t>788</t>
  </si>
  <si>
    <t>773</t>
  </si>
  <si>
    <t>824</t>
  </si>
  <si>
    <t>872</t>
  </si>
  <si>
    <t>860</t>
  </si>
  <si>
    <t>Prestar los servicios profesionales a la Secretaría Distrital de Gobierno para apoyar el seguimiento a la ejecución de los planes programas y proyectos asociados a los procesos de participación ciudadana en el marco de la estrategia de gobierno abierto.</t>
  </si>
  <si>
    <t>Prestar servicios profesionales especializados en la Subsecretaria de  Gobernabilidad y Garantía de los Derechos para apoyar la estructuraciónE implementacion del Laboratorio de Innovación Social y el seguimiento  a proyectos estratégicos y políticas públicas a cargo de la  Subsecretaria.</t>
  </si>
  <si>
    <t>PRESTAR SERVICIOS PROFESIONALES ESPECIALIZADOS A LA  SUBSECRETARÍA PARA LA GOBERNABILIDAD Y GARANTÍA DE DERECHOS EN EL APOYO A LOS PROCESOS DE ARTICULACIÓN Y SEGUIMIENTO  ESTRATÉGICO, EN MATERIA DE GARANTÍA DE DERECHOS HUMANOS GOBERNABILIDAD SOCIAL, Y PARTICIPACIÓN CIUDADANA.</t>
  </si>
  <si>
    <t>Prestar servicios profesionales para el desarrollo de las fases del ciclo de la política pública de Participación Incidente</t>
  </si>
  <si>
    <t>Prestar servicios profesionales en la Subsecretaría para la Gobernabilidad y la Garantía de Derechos para apoyar el acompañamiento y  seguimiento a los planes y proyectos estratégicos a cargo de la Subsecretaría</t>
  </si>
  <si>
    <t>LEONOR  GUATIBONZA VALDERRAMA</t>
  </si>
  <si>
    <t>JULIAN ANDRES RIVERA CORDOBA</t>
  </si>
  <si>
    <t>JUAN CARLOS PEREZ VILLAMIZAR</t>
  </si>
  <si>
    <t>INGRID TATIANA JOHANNA GONZALEZ PENAGOS</t>
  </si>
  <si>
    <t>CARLOS JOSE ROSADO GAMBOA</t>
  </si>
  <si>
    <t>799</t>
  </si>
  <si>
    <t>780</t>
  </si>
  <si>
    <t>810</t>
  </si>
  <si>
    <t>811</t>
  </si>
  <si>
    <t>763</t>
  </si>
  <si>
    <t>806</t>
  </si>
  <si>
    <t>830</t>
  </si>
  <si>
    <t>820</t>
  </si>
  <si>
    <t>838</t>
  </si>
  <si>
    <t>839</t>
  </si>
  <si>
    <t>846</t>
  </si>
  <si>
    <t>843</t>
  </si>
  <si>
    <t>847</t>
  </si>
  <si>
    <t>94</t>
  </si>
  <si>
    <t>Solicitud CDP de ARL Dirección Administrativa mediante memorado 20214200075603  Pago de la ARL a los contratistas con riesgo V, del mes de marzo de 2021, según planilla 49778327.</t>
  </si>
  <si>
    <t>PRESTAR SERVICIOS PROFESIONALES EN LA DIRECCION DE CONTRATACION PARA REALIZAR EL REGISTRO Y VERIFICACIÓN DE LA INFORMACIÓN EN LOS DIFERENTES SISTEMAS DE ALMACENAMIENTO DE DATOS RELACIONADOS CON EL PROCESO DE ADQUISICIÓN DE BIENES Y SERVICIOS DE LA SECRETARIA DISTRITAL DE GOBIERNO.</t>
  </si>
  <si>
    <t>REALIZAR LA ADICION Y PRORROGA DEL CONTRATO NO. 94 DE 2021 SUSCRITO POR LA SECRETARIA DISTRITAL DE GOBIERNO Y DIEGO ENRIQUE RODRIGUEZ DELGADO</t>
  </si>
  <si>
    <t>PRESTAR LOS SERVICIOS PROFESIONALES A LA DIRECCIÓN DE GESTIÓN DEL TALENTO HUMANO CON EL FIN DE BRINDAR APOYO JURÍDICO DE MANERA TRANSVERSAL EN LOS PROCESOS A CARGO DE LA MISMA, ESPECIALMENTE EN LO RELACIONADO CON LA REVISIÓN DE DOCUMENTOS QUE DEBA FIRMAR LA DIRECTORA Y EL ACOMPAÑAMIENTO  EN REUNIONES DE COMPETENCIA DE LA DIRECCIÓN.</t>
  </si>
  <si>
    <t>Prestar los servicios de monitoreo de medios de la información noticiosa o editorial de la Secretaría Distrital de Gobierno, publicada en diferentes medios de comunicación masivos y especializados</t>
  </si>
  <si>
    <t>Prestar servicios de apoyo a la gestión a la Subsecretaría de  Gestión Institucional en los puntos de atención a la ciudadanía de la Secretaria Distrital de Gobierno  para la implementación de la Política Pública Distrita  de Atención a la Ciudadanía.</t>
  </si>
  <si>
    <t>PRESTAR LOS SERVICIOS PROFESIONALES A LA DIRECCIÓN ADMINISTRATIVA DE LA SECRETARÍA DISTRITAL DE GOBIERNO EN EL DIAGNÓSTICO, APOYO TÉCNICO Y ADMINISTRATIVO EN LO RELACIONADO AL MANTENIMIENTO Y BUEN FUNCIONAMIENTO DE LA INFRAESTRUCTURA DE LOS PREDIOS DE PROPIEDAD DE LA ENTIDAD</t>
  </si>
  <si>
    <t>PRESTAR LOS SERVICIOS A LA DIRECCIÓN ADMINISTRATIVA DE LA SECRETARÍA DISTRITAL DE GOBIERNO EN EL APOYO TÉCNICO YADMINISTRATIVO EN LO RELACIONADO AL MANTENIMIENTO Y BUEN FUNCIONAMIENTO DE LA INFRAESTRUCTURA DE LOS PREDIOS DE PROPIEDAD DE LA ENTIDAD.</t>
  </si>
  <si>
    <t>PRESTAR SUS SERVICIOS PROFESIONALES PARA APOYAR LOS PROCESOS DE GESTIÓN DEL PATRIMONIO DOCUMENTAL DE LA DIRECCIÓN ADMINISTRATIVA</t>
  </si>
  <si>
    <t>JESSIKA LORENA OSORIO RAMIREZ</t>
  </si>
  <si>
    <t>ERNESTO  ALTURO MARTINEZ</t>
  </si>
  <si>
    <t>EXCELSIOR ADVANTAGE SAS</t>
  </si>
  <si>
    <t>DANNA LUCIA QUINTERO CIFUENTES</t>
  </si>
  <si>
    <t>Prestar los servicios profesionales en la Dirección para la Gestión del Desarrollo Local  desarrollando asistencia técnica a los Fondos de Desarrollo Local ¿ FDL, en las temáticas ambientales según las líneas de inversión. (Este CDP reemplaza el CDP 747 expedido el 15 de marzo por el proyecto 7803 pero se debio afectar es el proyecto 7801 ,por lo que el cdp 747 se anulo.  este nuevo cdp respalda el proceso contractual 628.) Este registro presupuestal reemplaza el registro presupuestal 719 expedido el 19 de marzo por el proyecto 7803 pero se debio afectar el proyecto 7801, por lo que el registro 719 se anulo. este nuevo registro respalda el proceso contractual 628.</t>
  </si>
  <si>
    <t>887</t>
  </si>
  <si>
    <t>903</t>
  </si>
  <si>
    <t>912</t>
  </si>
  <si>
    <t>932</t>
  </si>
  <si>
    <t>914</t>
  </si>
  <si>
    <t>917</t>
  </si>
  <si>
    <t>918</t>
  </si>
  <si>
    <t>919</t>
  </si>
  <si>
    <t>920</t>
  </si>
  <si>
    <t>921</t>
  </si>
  <si>
    <t>922</t>
  </si>
  <si>
    <t>933</t>
  </si>
  <si>
    <t>936</t>
  </si>
  <si>
    <t>931</t>
  </si>
  <si>
    <t>938</t>
  </si>
  <si>
    <t>950</t>
  </si>
  <si>
    <t>941</t>
  </si>
  <si>
    <t>961</t>
  </si>
  <si>
    <t>962</t>
  </si>
  <si>
    <t>963</t>
  </si>
  <si>
    <t>970</t>
  </si>
  <si>
    <t>988</t>
  </si>
  <si>
    <t>1000</t>
  </si>
  <si>
    <t>1014</t>
  </si>
  <si>
    <t>1007</t>
  </si>
  <si>
    <t>1009</t>
  </si>
  <si>
    <t>42428867917</t>
  </si>
  <si>
    <t>34430275817</t>
  </si>
  <si>
    <t>6335824854</t>
  </si>
  <si>
    <t>633582485</t>
  </si>
  <si>
    <t>6330552300</t>
  </si>
  <si>
    <t>633055224</t>
  </si>
  <si>
    <t>36420671111</t>
  </si>
  <si>
    <t>6347735350</t>
  </si>
  <si>
    <t>634773535</t>
  </si>
  <si>
    <t>41744728811</t>
  </si>
  <si>
    <t>814</t>
  </si>
  <si>
    <t>Entregar a título de arrendamiento a la Secretaría Distrital de Gobierno, el uso y goce del inmueble ubicado en la Calle 9 No. 9-60 de la localidad de la Candelaria - Bogotá D.C  identificado con el folio de matrícula inmobiliaria No. 50C- 1502436</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</si>
  <si>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lideresas&lt;(&gt;,&lt;)&gt; defensores y defensoras de derechos humanos, que demanden medidas de prevención y protección</t>
  </si>
  <si>
    <t>Prestar servicios profesionales en la Subdirección de Asuntos de la Libertad Religiosa y de Conciencia para apoyar la coordinación de la gestión técnica y territorialización de la Política Pública Distrital de Libertades Fundamentales de Religión, Culto y Conciencia en la implementación de productos de la línea de investigación.</t>
  </si>
  <si>
    <t>Pago de servicios públicos de los inmuebles en donde se encuentran los espacios de atención diferenciada CONFIA y Casa Indígena  Pago del servicio de acueducto y alcantarillado de Confía Candelaria, ubicado en la Calle 9 No. 4 70, periodo facturado 30 de enero 30 de marzo de 2021, según factura No. 42428867917.</t>
  </si>
  <si>
    <t>Pago de servicios públicos de los inmuebles en donde se encuentran los espacios de atención diferenciada CONFIA y Casa Indígena  Pago del servicio de acueducto de la Casa del Pensamiento indígena, ubicada Calle 9 No. 9 60, periodo facturado del 28 de enero al 27 de marzo de 2021, según factura No. 34430275817.</t>
  </si>
  <si>
    <t>Pago de servicios públicos de los inmuebles en donde se encuentran los espacios de atención diferenciada CONFIA y Casa Indígena  Pago del servicio de energía de Confía ubicado en la Calle 9 No. 4 - 70, periodo facturado 26 de marzo al 27 de abril de 2021, según factura No. 6335824854</t>
  </si>
  <si>
    <t>Pago de servicios públicos de los inmuebles en donde se encuentran los espacios de atención diferenciada CONFIA y Casa Indígena  Pago del servicio de aseo de Confía, ubicado en la Calle 9 No. 4 70, periodo facturado 02 de marzo al 1 de abril de 2021, según factura No. 633582485.</t>
  </si>
  <si>
    <t>Pago de servicios públicos de los inmuebles en donde se encuentran los espacios de atención diferenciada CONFIA y Casa Indígena  Pago del servicio de energía de la Casa del Pensamiento Indígena, ubicada en la Calle 9 No. 9-60, periodo facturado del 23 de marzo al 22 de abril de 2021, según facturas:  633055230-0    $147.900 633055233-1    $ 42.240</t>
  </si>
  <si>
    <t>Pago de servicios públicos de los inmuebles en donde se encuentran los espacios de atención diferenciada CONFIA y Casa Indígena  Pago del servicio de aseo de la Casa del Pensamiento Indígena, ubicada en la Calle 9 No. 9 60, periodo facturado 28 de febrero al 27 de marzo de 2021, según facturas: 633055224                $45.930 633055223                $45.930 633055222                $45.930 633055221                $45.930 633055225                $45.970 633055226                $45.930 633055227                $45.930 633055228                $45.930 633055230                $46.010</t>
  </si>
  <si>
    <t>Prestar los servicios para implementar medidas de asistencia, atención, promoción, prevención y protección de personas, comunidades, grupos o colectivos, víctimas de vulneraciones a los derechos a la vida, libertad, integridad y seguridad personal; el desarrollo de acciones de fortalecimiento a organizaciones sociales para la protección de los Derechos Humanos, así como la realización de actividades organizacionales, estratégicas e institucionales propias de la Secretaria Distrital de Gobierno</t>
  </si>
  <si>
    <t>Pago de servicios públicos de los inmuebles en donde se encuentran los espacios de atención diferenciada CONFIA y Casa Indígena  Pago del servicio de acueducto y alcantarillado de Confía de San Cristobal, ubicado en la Carrera 3 No. 30A sur 08, periodo facturado 30 de diciembre de 2020 al 26 de febrero de 2021, según factura No. 36420671111.</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</si>
  <si>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</si>
  <si>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Pago de servicios públicos de los inmuebles en donde se encuentran los espacios de atención diferenciada CONFIA y Casa Indígena  Pago del servicio de energía del Centro de Orientación y Fortalecimiento Integral Afrobogotano (Confía), ubicado en la Carrera 3 No 30 a sur -06, periodo facturado del 7 de abril al 5 de mayo de 2021, según factura No. 634773535-0.</t>
  </si>
  <si>
    <t>Pago de servicios públicos de los inmuebles en donde se encuentran los espacios de atención diferenciada CONFIA y Casa Indígena  Pago del servicio de aseo del Centro de Orientación y Fortalecimiento Integral Afrobogotano (CONFIA), ubicado en la carrera 3 No. 30 a sur - 06, periodo facturado 13 de marzo al 12 de abril de 2021, según factura No. 634773535.</t>
  </si>
  <si>
    <t>Pago de servicios públicos de los inmuebles en donde se encuentran los espacios de atención diferenciada CONFIA y Casa Indígena.  Pago del servicio de acueducto y alcantarillado de Confía Suba, ubicado en la Diagonal 115 A No. 70D 95 Lc 10, periodo facturado 07 de febrero al 07 de abril de 2021, según factura No. 41744728811.</t>
  </si>
  <si>
    <t>Prestar servicios profesionales en la Dirección de Derechos Humanos como enlace técnico para garantizar la atención requerida en la implemetacion de la ruta de prevención y protección victimas del delito de trata de personas, en el marco del programa de prevención de vulneraciones a los derechos de la vida, libertad, integridad y seguridad de personas LGBTI, victimas del delito de trata de personas, lideres, lideresas, defensores y defensoras de derechos humanos, que demanden medidas de protección o prevención.</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</si>
  <si>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lideresas&lt;(&gt;,&lt;)&gt; defensores y defensoras de derechos humanos, que demanden medidas de prevención y protección</t>
  </si>
  <si>
    <t>REALIZAR LA ADICIÓN Y PRORROGA DEL CONTRATO No. 631 DE 2020 SUSCRITO ENTRE LA SECRETARIA DISTRITAL DE GOBIERNO Y UNION TEMPORAL C&lt;(&gt;&amp;&lt;)&gt;M SEGURIDAD</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</si>
  <si>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</si>
  <si>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JOSE ARGEMIRO ANZOLA ESCALANTE</t>
  </si>
  <si>
    <t>TATIANA MAYERLY VIZCAINO DIAZ</t>
  </si>
  <si>
    <t>JULIAN ANDRES CARVAJAL ZAMORA</t>
  </si>
  <si>
    <t>UT UNIDAD 2021</t>
  </si>
  <si>
    <t>ANA DALILA GOMEZ BAOS</t>
  </si>
  <si>
    <t>JORGE ANDRES RIAÑO LEON</t>
  </si>
  <si>
    <t>LAURA JULIANA RUIZ BECERRA</t>
  </si>
  <si>
    <t>ALINA SANTOS ARAGON PINEDO</t>
  </si>
  <si>
    <t>UNION TEMPORAL MEDIOS GOBIERNO 2021</t>
  </si>
  <si>
    <t>882</t>
  </si>
  <si>
    <t>884</t>
  </si>
  <si>
    <t>895</t>
  </si>
  <si>
    <t>867</t>
  </si>
  <si>
    <t>890</t>
  </si>
  <si>
    <t>871</t>
  </si>
  <si>
    <t>893</t>
  </si>
  <si>
    <t>891</t>
  </si>
  <si>
    <t>875</t>
  </si>
  <si>
    <t>892</t>
  </si>
  <si>
    <t>876</t>
  </si>
  <si>
    <t>894</t>
  </si>
  <si>
    <t>877</t>
  </si>
  <si>
    <t>896</t>
  </si>
  <si>
    <t>880</t>
  </si>
  <si>
    <t>881</t>
  </si>
  <si>
    <t>888</t>
  </si>
  <si>
    <t>908</t>
  </si>
  <si>
    <t>889</t>
  </si>
  <si>
    <t>901</t>
  </si>
  <si>
    <t>900</t>
  </si>
  <si>
    <t>911</t>
  </si>
  <si>
    <t>904</t>
  </si>
  <si>
    <t>939</t>
  </si>
  <si>
    <t>899</t>
  </si>
  <si>
    <t>909</t>
  </si>
  <si>
    <t>925</t>
  </si>
  <si>
    <t>907</t>
  </si>
  <si>
    <t>910</t>
  </si>
  <si>
    <t>913</t>
  </si>
  <si>
    <t>923</t>
  </si>
  <si>
    <t>915</t>
  </si>
  <si>
    <t>934</t>
  </si>
  <si>
    <t>916</t>
  </si>
  <si>
    <t>926</t>
  </si>
  <si>
    <t>929</t>
  </si>
  <si>
    <t>935</t>
  </si>
  <si>
    <t>945</t>
  </si>
  <si>
    <t>942</t>
  </si>
  <si>
    <t>943</t>
  </si>
  <si>
    <t>965</t>
  </si>
  <si>
    <t>953</t>
  </si>
  <si>
    <t>981</t>
  </si>
  <si>
    <t>973</t>
  </si>
  <si>
    <t>NADIA IBETH CARRIZOSA COVALEDA</t>
  </si>
  <si>
    <t>JOHN EDIXON PADILLA SANABRIA</t>
  </si>
  <si>
    <t>MAIRA YIRALY GARCIA ROJAS</t>
  </si>
  <si>
    <t>ALEXI  CONTRERAS CARVAJAL</t>
  </si>
  <si>
    <t>LYNA SOLVEY BOGOYA BURGOS</t>
  </si>
  <si>
    <t>ANDRÉS MAURICIO CUERVO CASTILLO</t>
  </si>
  <si>
    <t>DAVID ERNESTO CABRERA MOJICA</t>
  </si>
  <si>
    <t>ANABIA JULIETH ANGARITA GALINDO</t>
  </si>
  <si>
    <t>LORENA  BURBANO SALAS</t>
  </si>
  <si>
    <t>CARLOS FELIPE TELLEZ PINZON</t>
  </si>
  <si>
    <t>GELSY CAROLINA CHAPARRO VASQUEZ</t>
  </si>
  <si>
    <t>ANGELICA MARIA DIAZ HIGUERA</t>
  </si>
  <si>
    <t>MARIA CAROLINA LOPEZ MERCHAN</t>
  </si>
  <si>
    <t>CHRISTIAAN BENJAMIN GALEANO LEMOS</t>
  </si>
  <si>
    <t>LINA MARIA ORTIZ CORTAZAR</t>
  </si>
  <si>
    <t>GIOVANI  NARANJO FLOREZ</t>
  </si>
  <si>
    <t>ANDREA NATALY GALEANO CIPAGAUTA</t>
  </si>
  <si>
    <t>MARIA PAULA GARCIA GARZON</t>
  </si>
  <si>
    <t>KELY YICETH DELGADO TRILLOS</t>
  </si>
  <si>
    <t>LINA VANESSA GONZALEZ MEJIA</t>
  </si>
  <si>
    <t>PSIGMA CORPORATION S A S</t>
  </si>
  <si>
    <t>ASTRID JASBLEYDE CAJIAO ACOSTA</t>
  </si>
  <si>
    <t>DANIELA MARIA HERNANDEZ BUITRAGO</t>
  </si>
  <si>
    <t>EDWIN ORLANDO RODRIGUEZ DUARTE</t>
  </si>
  <si>
    <t>KEY MARKET SAS - EN REORGANIZACION</t>
  </si>
  <si>
    <t>HARDWARE ASESORIAS SOFTWARE TLDA</t>
  </si>
  <si>
    <t>CHRISTIAN GAMALIEL ABARZUA HERNANDEZ</t>
  </si>
  <si>
    <t>PRESTAR SERVICIOS PROFESIONALES PARA BRINDAR SOPORTE JURÍDICO EN LAS DIFERENTES ETAPAS DE LA CONVOCATORIA PARA LA PROVISIÓN DE EMPLEOS DE CARÁCTER TEMPORAL ADELANTADA POR LA SECRETARIA DISTRITAL DE GOBIERNO</t>
  </si>
  <si>
    <t>PRESTAR SERVICIOS PROFESIONALES PARA FORTALECER LAS ACCIONES Y PROCEDIMIENTOS PSICOLOGICOS QUE SE REQUIERAN ADELANTAR EN EL MARCO DE LA CONVOCATORIA PARA LA PROVISIÓN DE EMPLEOS DE CARÁCTER TEMPORAL ADELANTADA POR LA SECRETARIA DISTRITAL DE GOBIERNO</t>
  </si>
  <si>
    <t>PRESTAR SERVICIOS PROFESIONALES PARA BRINDAR SOPORTE JURÍDICO EN LAS DIFERENTES ETAPAS DE LA CONVOCATORIA PARA LAPROVISIÓN DE EMPLEOS DE CARÁCTER TEMPORAL ADELANTADA POR LA SECRETARIA DISTRITAL DE GOBIERNO</t>
  </si>
  <si>
    <t>PRESTAR SERVICIOS PROFESIONALES PARA FORTALECER LAS ACCIONES Y PROCEDIMIENTOS PSICOLOGICOS QUE SE REQUIERAN ADELANTAR EN EL MARCO DE LA CONVOCATORIA PARA LA PROVISIÓN DE EMPLEOS DE CARÁCTER TEMPORAL ADELANTADA POR LASECRETARIA DISTRITAL DE GOBIERNO</t>
  </si>
  <si>
    <t>Pago de la autoliquidación de la nómina general de abril de 2021. (Planta de Inversión)</t>
  </si>
  <si>
    <t>Adquirir el servicio de pruebas psicométricas en línea, para evaluar las competencias cognitivas y comportamentales de los aspirantes a ocupar los empleos de la planta temporal de la Secretaría Distrital de Gobierno.</t>
  </si>
  <si>
    <t>PRESTAR SERVICIOS PROFESIONALES ESPECIALIZADOS PARA BRINDAR SOPORTE Y ACOMPAÑAMIENTO JURÍDICO, LEGAL Y ADMINISTRATIVO EN LA DIRECCIÓN DE GESTIÓN DE TALENTO HUMANO.</t>
  </si>
  <si>
    <t>ADQUIRIR BAJO LA MODALIDAD DE COMPRAVENTA EQUIPOS DE  CÓMPUTO, ACCESORIOS Y UN SERVICIO DE MANTENIMIENTO PARA LA SECRETARIA DISTRITAL DE GOBIERNO, A TRAVÉS DEL ACUERDO  MARCO PARA LA COMPRA DE EQUIPOS TECNOLÓGICOS Y PERIFÉRICOS# CCE-925-AMP-2019</t>
  </si>
  <si>
    <t>Solicitud CDP de ARL Dirección de Convivencia y Dialogo Social, mediante memorado 20213000005353.  Pago planilla 50573041 correspondiente al pago de la ARL del mes de abril, de los contratistas con riesgo V.</t>
  </si>
  <si>
    <t>Prestar servicios de apoyo para el seguimiento y aseguramiento de calidad de los inventarios documentales en los archivos de la Secretaría Distrital Gobierno</t>
  </si>
  <si>
    <t>Prestar servicios de apoyo a las estrategias digitales de la subsecretaría de gestión local para promover los programas y proyectos que se adelantan en beneficio de la ciudadanía en especial lo relacionado con en la estrategia pedagógica para el fomento de la cultura ciudadana</t>
  </si>
  <si>
    <t>Prestar servicios de apoyo para el levantamiento técnico de inventarios documentales en los archivos de la Secretaría Distrital de Gobierno</t>
  </si>
  <si>
    <t>ADICION Y PRORROGA C.P.S.128 DE 2020, APOYAR A LA PERSONERIA DE BOGOTÁ D.C., EN EL MARCO DEL PROYECTO 1203 SERVICIO INTEGRAL A LA CI UDADANÍA,   EN ESPECIAL A LA DELEGADA  PARA LA COORDINACIÓN DE PERSONERIAS LOCALES Y LAS DEPENDENCIAS A SU CARGO, EN EL DESARROLLO D E LAS JORNADAS DE DESCONGESTIÓN . META: 6 . COM: T.H.</t>
  </si>
  <si>
    <t>719</t>
  </si>
  <si>
    <t>50573041</t>
  </si>
  <si>
    <t>771</t>
  </si>
  <si>
    <t>40</t>
  </si>
  <si>
    <t>FREDY OSWALDO IMBACHI RONCANCIO</t>
  </si>
  <si>
    <t>MYRIAM ANDREA ORDONEZ PINZON</t>
  </si>
  <si>
    <t>MARIA ESPERANZA RIAÑO GONZALEZ</t>
  </si>
  <si>
    <t>JOHAN SEBASTIAN BARRERA RAMIREZ</t>
  </si>
  <si>
    <t>ANDRES FELIPE CALDERON OTERO</t>
  </si>
  <si>
    <t>LEIDY PAULA CORDOBA MORENO</t>
  </si>
  <si>
    <t>JOSE IGNACIO BAQUERO RODRIGUEZ</t>
  </si>
  <si>
    <t>JORGE ELIECER CASTELLANOS RODRIGUEZ</t>
  </si>
  <si>
    <t>RAFAEL LEONARDO RODRIGUEZ BELLO</t>
  </si>
  <si>
    <t>HOLMAN SMITH PANQUEVA RAMIREZ</t>
  </si>
  <si>
    <t>JUAN JOSE GONZALEZ RODRIGUEZ</t>
  </si>
  <si>
    <t>INGRID NATALIA ALVARADO MAHECHA</t>
  </si>
  <si>
    <t>JENNY KAREN TATIANA ROCHA ORTIZ</t>
  </si>
  <si>
    <t>DIEGO GERARDO TAPIA LLANOS</t>
  </si>
  <si>
    <t>NILSON ANDRES VILLALO PEÑALOZA</t>
  </si>
  <si>
    <t>EMILDA  SANCHEZ PALACIOS</t>
  </si>
  <si>
    <t>870</t>
  </si>
  <si>
    <t>863</t>
  </si>
  <si>
    <t>858</t>
  </si>
  <si>
    <t>873</t>
  </si>
  <si>
    <t>902</t>
  </si>
  <si>
    <t>927</t>
  </si>
  <si>
    <t>928</t>
  </si>
  <si>
    <t>930</t>
  </si>
  <si>
    <t>937</t>
  </si>
  <si>
    <t>940</t>
  </si>
  <si>
    <t>944</t>
  </si>
  <si>
    <t>946</t>
  </si>
  <si>
    <t>906</t>
  </si>
  <si>
    <t>948</t>
  </si>
  <si>
    <t>964</t>
  </si>
  <si>
    <t>957</t>
  </si>
  <si>
    <t>958</t>
  </si>
  <si>
    <t>960</t>
  </si>
  <si>
    <t>966</t>
  </si>
  <si>
    <t>971</t>
  </si>
  <si>
    <t>947</t>
  </si>
  <si>
    <t>977</t>
  </si>
  <si>
    <t>949</t>
  </si>
  <si>
    <t>978</t>
  </si>
  <si>
    <t>980</t>
  </si>
  <si>
    <t>967</t>
  </si>
  <si>
    <t>982</t>
  </si>
  <si>
    <t>983</t>
  </si>
  <si>
    <t>968</t>
  </si>
  <si>
    <t>984</t>
  </si>
  <si>
    <t>979</t>
  </si>
  <si>
    <t>986</t>
  </si>
  <si>
    <t>990</t>
  </si>
  <si>
    <t>994</t>
  </si>
  <si>
    <t>987</t>
  </si>
  <si>
    <t>995</t>
  </si>
  <si>
    <t>996</t>
  </si>
  <si>
    <t>959</t>
  </si>
  <si>
    <t>997</t>
  </si>
  <si>
    <t>1003</t>
  </si>
  <si>
    <t>989</t>
  </si>
  <si>
    <t>1006</t>
  </si>
  <si>
    <t>50573354</t>
  </si>
  <si>
    <t>50573366</t>
  </si>
  <si>
    <t>797</t>
  </si>
  <si>
    <t>813</t>
  </si>
  <si>
    <t>812</t>
  </si>
  <si>
    <t>8169</t>
  </si>
  <si>
    <t>817</t>
  </si>
  <si>
    <t>PRESTAR SERVICIOS PROFESIONALES PARA LA PROMOCIÓN DE LA SANA CONVIVENCIA EN EL FÚTBOL DENTRO Y FUERA DEL ESTADIO A TRAVÉS DEL PROGRAMA DE BARRISMO SOCIAL,  ASISTIR LOS TEMAS RELACIONADOS CON LA CONVIVENCIA, DIALOGO SOCIAL Y PROTESTAS</t>
  </si>
  <si>
    <t>PRESTAR SERVICIOS PROFESIONALES EN LA DIRECCIÓN DE CONVIVENCIA Y DIÁLOGO SOCIAL PARA APOYAR EL CORRECTO DESEMPEÑO MISIONAL DE LA DIRECCIÓN EN LOS TEMAS RELACIONADOS CON LA CONVIVENCIA, DIÁLOGO Y PROTESTAS SOCIAL</t>
  </si>
  <si>
    <t>PRESTAR SERVICIOS PROFESIONALES EN LA DIRECCIÓN DE CONVIVENCIA Y DIÁLOGO SOCIAL PARA APOYAR EL CORRECTO DESEMPEÑO MISIONAL DE LA DIRECCIÓN EN LOS TEMAS RELACIONADOS CON LA CONVIVENCIA, DIÁLOGO Y PROTESTAS SOCIALES</t>
  </si>
  <si>
    <t>Solicitud CDP de ARL Dirección de Convivencia y Dialogo Social, mediante memorado 20213000005353  Pago de la planilla 50573354 correspondiente al pago de la Arl del mes de Abril de 2021, de los contratistas con riesgo V</t>
  </si>
  <si>
    <t>Solicitud CDP de ARL Dirección de Convivencia y Dialogo Social, mediante memorado 20213000005353  Pago de la planilla 50573366 por concepto del pago de la ARL del mes de abril de 2021, a los contratistas con riego V.</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</si>
  <si>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</si>
  <si>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LAIMPLEMENTACIÓN DE ACCIONES DE DIÁLOGO Y PREVENCIÓN QUE SE REQUIERAN EN MATERIA GOBERNABILIDAD, ASISTIR LOS TEMAS RELACIONADOS CON LA CONVIVENCIA, DIÁLOGO SOCIAL Y PROTESTAS</t>
  </si>
  <si>
    <t>PRESTAR SERVICIOS DE APOYO PARA EL LEVANTAMIENTO TÉCNICO DE INVENTARIOS DOCUMENTALES EN LOS ARCHIVOS DE LA SECRETARÍA DISTRITAL DE GOBIERNO</t>
  </si>
  <si>
    <t>PRESTAR LOS SERVICIOS DE APOYO A LA GESTIÓN A LA DIRECCIÓN DE CONVIVENCIA Y DIÁLOGO SOCIAL PARA BRINDAR ACOMPAÑAMIENTO EN LOS PROCESOS DE CONFLICTIVIDAD SOCIAL, MOVILIZACION CIUDADANA, AGLOMERACIONES, APOYAR LA IMPLEMETANCION DE ACCIONES DE DIALOGO SOCIAL Y PREVENCION QUE SE SE REQUIERA EN MATERIA DE GONERNABILIDAD, ASISTIR LOS TEMAS RELACIONADOS CON LA CONVIVE CIA, DIALOGO SOCIAL Y PROTESTAS.</t>
  </si>
  <si>
    <t>PRESTAR LOS SERVICIOS DE APOYO A LA GESTIÓN A LA DIRECCIÓN DE CONVIVENCIIA Y DIÁLOGO SOCIAL PARA BRINDAR ACOMPAÑAMIENTO EN LOS PROCESOS DE CONFLICTIVIDAD SOCIAL, MOVILIZACION CIUDADANA, AGLOMERACIONES, APOYAR LA IMPLEMENTACION DE ACCIONES DE DIAOLOGO Y PREVENCION QUE SE REQUIERAN EN MATERIA DE GOBERNABILIDAD, ASISTIR EN LOS TEMAS RELACIONADOS CON LA CONVIVENCIA, DIALOGO SOCIAL Y PROTESTAS.</t>
  </si>
  <si>
    <t>PRESTAR LOS SERVICIOS DE APOYO A LA GESTIÓN A LA DIRECCIÓN DE CONVIVENCI Y DIÁLOGO SOCIAL PARA BRINDAR ACOMPAÑAMIENTO EN LOS PROCESOS DE CONFLIC TIVIDAD SOCIAL, MOVILIZACION CIUDADANA, AGLOMERACIONES, APOYAR LA IMPLE MENTACION DE ACCIONES DE DIALOGO Y PREVENCION QUE SE REQUIERA EN MATERIA DE GOBERNABILIDAD Y ASISTIR LOS TEMAS RELACIONADOS CON LA CONVIVENCIA, DIALOGO SOCIAL Y PROTESTAS.</t>
  </si>
  <si>
    <t>PRESTAR SERVICIOS DE APOYO A LA GESTIÓN PARA LA PROMOCIÓN DE LA SANA CONVIVENCIA EN EL FÚTBOL DENTRO Y FUERA DELESTADIO A TRAVÉS DEL PROGRAMA DE BARRISMO SOCIAL, ASISTIR LOS TEMAS RELACIONADOS CON LA CONVIVENCIA, DIALOGO SOCIAL Y PROTESTAS</t>
  </si>
  <si>
    <t>PRESTAR SUS SERVICIOS DE APOYO PARA LA SECRETARIA DISTRITAL DE GOBIERNO EN LA ELABORACIÓN DEL MODELO DE REQUISITOS FUNCIONALES Y NO FUNCIONALES</t>
  </si>
  <si>
    <t>JHON GILBERTO CASALLAS BERNAL</t>
  </si>
  <si>
    <t>JUAN MANUEL RESTREPO HOYOS</t>
  </si>
  <si>
    <t>DARWIN FARUTH HOYOS PALACIO</t>
  </si>
  <si>
    <t>952</t>
  </si>
  <si>
    <t>991</t>
  </si>
  <si>
    <t>Prestar los servicios profesionales para el análisis, desarrollo, puesta en producción, mantenimiento y soporte de las soluciones de software basadas en tecnologías web JavaScript, typeScrpt, NestJS, NodeJS, ReactJS, html, Css que se encuentran desplegados en la infraestructura de la Secretaría Distrital de Gobierno con contenedores Docke</t>
  </si>
  <si>
    <t>REALIZAR LA ADICIÓN Y PRORROGA DEL CONTRATO NO.100 DE 2021 SUSCRITO POR LA SECRETARIA DISTRITAL DE GOBIERNO Y ADRIANA PAOLA RODRIGUEZ SANDOVAL</t>
  </si>
  <si>
    <t>Prestar servicios profesionales en la Subsecretaría para la Gobernabilidad y la Garantía de Derechos para apoyar el acompañamiento y  seguimiento a las políticas públicas a cargo de la Subsecretaría en sus diferentes fases del ciclo de política</t>
  </si>
  <si>
    <t>Prestar los servicios profesionales para los procesos de implementación y seguimiento de planes, programas y proyectos que propendan por el fortalecimiento de las temáticas juveniles, principalmente asociadas a participación ciudadana, en el marco de modelo de Gobierno Abierto de la Secretaría Distrital de Gobierno</t>
  </si>
  <si>
    <t>100</t>
  </si>
  <si>
    <t>EVER JULIO VEGA BENAVIDES</t>
  </si>
  <si>
    <t>AS MEDICAL LIMITADA</t>
  </si>
  <si>
    <t>MARIA ALEJANDRA LOZANO ORTIZ</t>
  </si>
  <si>
    <t>864</t>
  </si>
  <si>
    <t>879</t>
  </si>
  <si>
    <t>885</t>
  </si>
  <si>
    <t>886</t>
  </si>
  <si>
    <t>898</t>
  </si>
  <si>
    <t>869</t>
  </si>
  <si>
    <t>951</t>
  </si>
  <si>
    <t>924</t>
  </si>
  <si>
    <t>969</t>
  </si>
  <si>
    <t>972</t>
  </si>
  <si>
    <t>974</t>
  </si>
  <si>
    <t>878</t>
  </si>
  <si>
    <t>975</t>
  </si>
  <si>
    <t>976</t>
  </si>
  <si>
    <t>985</t>
  </si>
  <si>
    <t>1004</t>
  </si>
  <si>
    <t>1012</t>
  </si>
  <si>
    <t>768</t>
  </si>
  <si>
    <t>796</t>
  </si>
  <si>
    <t>795</t>
  </si>
  <si>
    <t>818</t>
  </si>
  <si>
    <t>PRESTAR LOS SERVICIOS DE APOYO A LAS LABORES DE MANTENIMIENTO LOCATIVO, PREVENTIVO Y CORRECTIVO, Y REPARACIONES Y ADECUACIONES QUE SE PRESENTEN EN LAS SEDES DEL NIVEL CENTRAL DE LA SECRETARIA DISTRITAL DE GOBIERNO</t>
  </si>
  <si>
    <t>PRESTAR LOS SERVICIOS PROFESIONALES APOYANDO A LA DIRECCIÓN DE GESTIÓN DEL TALENTO HUMANO, PARA EL DESARROLLO DE HABILIDADES GERENCIALES EN LA ALTA DIRECCIÓN DE LA SECRETARÍA DISTRITAL DE GOBIERNO</t>
  </si>
  <si>
    <t>PRESTAR LOS SERVICIOS PROFESIONALES A LA SECRETARIA DISTRITAL DE GOBIERNO EN LOS ASUNTOS JURÍDICOS Y LEGALES QUE REQUIERAN LOS PROCESOS MISIONALES Y ADMINISTRATIVOS</t>
  </si>
  <si>
    <t>PRESTAR LOS SERVICIOS DE APOYO A LA GESTIÓN EN LA DIRECCIÓN ADMINISTRATIVA DE LA SECRETARÍA DISTRITAL DE GOBIERNO EN LA ACTIVIDADES RELACIONADAS CON LA ORGANIZACIÓN DE INVENTARIO DE BIENES DE PROPIEDAD DE LA ENTIDAD</t>
  </si>
  <si>
    <t>Prestar los servicios de apoyo para el levantamiento técnico de inventarios documentales en los archivos de la Secretaría Distrital de Gobierno</t>
  </si>
  <si>
    <t>PRESTAR SERVICIOS PROFESIONALES EN LA SECRETARIA DISTRITAL DE GOBIERNO EN LAS ACTIVIDADES DE SEGUIMIENTO, MONITOREO Y CONTROL DE LAS FUNCIONES PROPIAS DE LA DEPENDENCIA</t>
  </si>
  <si>
    <t>Prestar servicios de apoyo para la administración del inventario en estado natural de los archivos de la Secretaría Distrital de Gobierno</t>
  </si>
  <si>
    <t>PRESTAR LOS SERVICIOS DE APOYO A LA GESTIÓN EN LA DIRECCIÓN ADMINISTRATIVA EN LA IMPLEMENTACION DE LAS HERRAMIENTAS DE GESTION DOCUMENTAL</t>
  </si>
  <si>
    <t>PRESTAR SERVICIOS DE APOYO A LA GESTIÓN EN LA DIRECCIÓN ADMINISTRATIVA PARA LA ORGANIZACIÓN Y SEGUIMIENTO DE LAS ACTIVIDADES RELACIONADAS CON EL MANEJO Y CONTROL DE LOS INVENTARIOS, DE PROPIEDAD DE LA SECRETARIA DISTRITAL DE GOBIERNO</t>
  </si>
  <si>
    <t>PRESTAR LOS SERVICIOS PROFESIONALES EN LA DIRECCIÓN ADMINISTRATIVA DE LA SECRETARÍA DISTRITAL DE GOBIERNO EN EL SEGUIMIENTO A LOS PLANES DE GESTIÓN Y DE MEJORAMIENTO ASÍ COMO EN LOS PROGRAMAS QUE LIDERE LA DIRECCIÓN, EN EL MARCO DEL SISTEMA INTEGRADO DE GESTIÓN.</t>
  </si>
  <si>
    <t>PRESTAR LOS SERVICIOS DE APOYO A LA GESTIÓN EN EL TRÁMITE, REVISIÓN Y SEGUIMIENTO DE LAS CUENTAS DE COBRO DE LOS CONTRATISTAS Y PROVEEDORES DE LA DIRECCIÓN ADMINISTRATIVA DANDO CUMPLIMIENTO A LO EXIGIDO EN LA NORMATIVIDAD VIGENTE.</t>
  </si>
  <si>
    <t>Adquirir cinco (5) básculas con sus respectivos certificados de calibración para el pesaje de los residuos sólidos generados en las sedes del Nivel Central de la Secretaría Distrital de Gobierno y realizar la calibración de tres (3) básculas que posee la entidad.</t>
  </si>
  <si>
    <t>PRESTAR LOS SERVICIOS DE APOYO A LAS LABORES DE MANTENIMIENTO LOCATIVO, PREVENTIVO Y CORRECTIVO, Y REPARACIONES Y ADECUACIONES QUE SE PRESENTEN EN LAS SEDES DEL NIVEL CENTRAL DE LA SECRETARIA DISTRITAL DE GOBIERNO.</t>
  </si>
  <si>
    <t>PRESTAR LOS SERVICIOS DE APOYO A LA DIRECCIÓN ADMINISTRATIVA EN INVENTARIOS DE LOS BIENES MUEBLES E INMUEBLES DE LA SECRETARIA DISTRITAL DE GOBIERNO</t>
  </si>
  <si>
    <t>PRESTAR LOS SERVICIOS DE APOYO A LA DIRECCIÓN ADMINISTRATIVA EN EL LEVANTAMIENTO DE LA VERIFICACIÓN FÍSICA DE INVENTARIOS DE LOS BIENES DE LA SECRETARIA DISTRITAL DE GOBIERNO.</t>
  </si>
  <si>
    <t>PRESTAR LOS SERVICIOS A LA DIRECCIÓN ADMINISTRATIVA DE LA SECRETARIA DISTRITAL DE GOBIERNO EN EL APOYO ADMINISTRATIVO EN LO RELACIONADO AL MANTENIMIENTO Y BUEN FUNCIONAMIENTO DE LA INFRAESTRUCTURA DE LOS PREDIOS DE PROPIEDAD DE LA ENTIDAD</t>
  </si>
  <si>
    <t>PRESTAR LOS SERVICIOS PROFESIONALES A LA DIRECCIÓN ADMINISTRATIVA DE LA SECRETARIA DISTRITAL DE GOBIERNO EN LOS ASUNTOS JURÍDICOS QUE REQUIERAN LOS PROCESOS MISIONALES CONTRACTUALES Y ADMINISTRATIVOS QUE SE ADELANTAN EN LA DIRECCIÓN.</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</si>
  <si>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t>
  </si>
  <si>
    <t>956</t>
  </si>
  <si>
    <t>993</t>
  </si>
  <si>
    <t>Prestar los servicios profesionales a la Dirección para la Gestión del Desarrollo Local para el acompañamiento técnico en la estrategia de transparencia&lt;(&gt;,&lt;)&gt; gestión pública y prácticas de buen gobierno dirigida a los fondos de desarrollo local en el marco de la estrategia de asistencia técnica integral</t>
  </si>
  <si>
    <t>Prestar los servicios profesionales en la Dirección para la Gestión del Desarrollo Local apoyando técnicamente en la gestión pública y el seguimiento al cumplimiento de la ejecución de planes y programas de los Fondos de Desarrollo Local - FDL.</t>
  </si>
  <si>
    <t>DANIEL  DEL CASTILLO RENGIFO</t>
  </si>
  <si>
    <t>DIANA CECILIA CASTAÑEDA CASTILLA</t>
  </si>
  <si>
    <t>ARRENDAMIENTO DE ESCANER PARA LA SECRETARIA DISTRITAL DE GOBIERNO</t>
  </si>
  <si>
    <t>1019</t>
  </si>
  <si>
    <t>1016</t>
  </si>
  <si>
    <t>1026</t>
  </si>
  <si>
    <t>1020</t>
  </si>
  <si>
    <t>999</t>
  </si>
  <si>
    <t>1022</t>
  </si>
  <si>
    <t>1027</t>
  </si>
  <si>
    <t>1049</t>
  </si>
  <si>
    <t>1050</t>
  </si>
  <si>
    <t>1048</t>
  </si>
  <si>
    <t>1071</t>
  </si>
  <si>
    <t>1072</t>
  </si>
  <si>
    <t>1047</t>
  </si>
  <si>
    <t>1073</t>
  </si>
  <si>
    <t>1078</t>
  </si>
  <si>
    <t>1079</t>
  </si>
  <si>
    <t>1064</t>
  </si>
  <si>
    <t>1089</t>
  </si>
  <si>
    <t>1093</t>
  </si>
  <si>
    <t>1067</t>
  </si>
  <si>
    <t>1096</t>
  </si>
  <si>
    <t>1103</t>
  </si>
  <si>
    <t>1097</t>
  </si>
  <si>
    <t>1066</t>
  </si>
  <si>
    <t>1102</t>
  </si>
  <si>
    <t>GINNA PAOLA MARTINEZ BRICEÑO</t>
  </si>
  <si>
    <t>XIOMARA LISETH QUINO SANDOVAL</t>
  </si>
  <si>
    <t>JOHANNA MARCELA RAMOS MARTINEZ</t>
  </si>
  <si>
    <t>CINDY CECILIA CATAÑO CABALLERO</t>
  </si>
  <si>
    <t>UNION TEMPORAL B&amp;C 21</t>
  </si>
  <si>
    <t>PABLO ANTONIO TUTA CUY</t>
  </si>
  <si>
    <t>BRENDA MARYURIT BELLO CONTENTO</t>
  </si>
  <si>
    <t>DAILY JOHANNA RIVEROS LUGO</t>
  </si>
  <si>
    <t>MARLEY YESENIA CORTES AVILA</t>
  </si>
  <si>
    <t>JORDAN LEANDRO DIAZ SOTO</t>
  </si>
  <si>
    <t>JOHANN SEBASTIAN BARON BUITRAGO</t>
  </si>
  <si>
    <t>BERNARDO  PEÑA LOPEZ</t>
  </si>
  <si>
    <t>636736419-8</t>
  </si>
  <si>
    <t>636736419</t>
  </si>
  <si>
    <t>637261160-8</t>
  </si>
  <si>
    <t>638381760-3</t>
  </si>
  <si>
    <t>868</t>
  </si>
  <si>
    <t>0271</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</si>
  <si>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</si>
  <si>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LIBERTAD&lt;(&gt;,&lt;)&gt;INTEGRIDAD Y SEGURIDAD DE PERSONAS LGBTI, VÍCTIMAS DEL DELITO DE TRATA DE PERSONAS O DE ABUSO DE AUTORIDAD Y/O DE FUERZA, LÍDERES, LIDERESAS, DEFENSORES Y DEFENSORAS DE DERECHOS HUMANOS, QUE DEMANDEN MEDIDAS DE PREVENCIÓN O PROTECCIÓN</t>
  </si>
  <si>
    <t>Prestar servicios profesionales para el desarrollo en las fases del ciclo de la política pública de Discapacidad</t>
  </si>
  <si>
    <t>Pago de servicios públicos de los inmuebles en donde se encuentran los espacios de atención diferenciada CONFIA y Casa Indígena la Casa de Pensamiento Indígena (CPI), ubicada en la Calle 9 No. 9 – 60 por un valor de CUATROSCIENTOS CINCO MIL SETENTA PESOS M/CTE ($405.070); periodo facturaABR/22/2021 a MAY/21/2021.</t>
  </si>
  <si>
    <t>Pago de servicios públicos de los inmuebles en donde se encuentran los espacios de atención diferenciada CONFIA y Casa Indígena pago servico Público de ASEO, de la Casa de Pensamiento Indígena (CPI), ubicada en la Calle 9 No. 9 – 60, la por un valor de CUATROCIENTOS SESENTA Y NUEVE MIL SETECIENTOS NOVENTA PESOS M/CTE ($469.790); periodo facturado FEB/28/2021 al MAR/27/ 2021.</t>
  </si>
  <si>
    <t>Pago de servicios públicos de los inmuebles en donde se encuentran los espacios de atención diferenciada CONFIA y Casa Indígena. servicio público: CODENSA del Centro de Orientación y Fortalecimiento Integral Afrobogotano (CONFIA) ubicado en la Calle 9 No. 4 - 70, periodo facturado ABR/27/2021 a MAY/26/2021 por valor de $ 211.990</t>
  </si>
  <si>
    <t>Pago de servicios públicos de los inmuebles en donde se encuentran los espacios de atención diferenciada CONFIA y Casa Indígena Servicio Público de ASEO PROMO AMBIENTAL del Centro de Orientación y Fortalecimiento Integral Afrobogotano (CONFICalle 9 No. 4 – 70 periodo facturado ABR/02/2021 a MAY/01/2021 por valor de $ $50.740#</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</si>
  <si>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</si>
  <si>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funcionarios, contratistas y/o visitantes y de los bienes muebles e inmuebles de propiedad de la entidad, y de los que legalmente sea o llegare a ser responsable</t>
  </si>
  <si>
    <t>Pago de servicios públicos de los inmuebles en donde se encuentran los espacios de atención diferenciada CONFIA y Casa Indígena  ubicado en la Carrera 3 No. 30 a Sur - 06  PERIODO FACTURADO MAY/05/2021 a JUN/03/2021 , POR VALOR DE $ 198.010 FACTURA . 638381760-3</t>
  </si>
  <si>
    <t>Pago de servicios públicos de los inmuebles en donde se encuentran los espacios de atención diferenciada CONFIA y Casa Indígena ubicado en la Carrera 3 No. 30 a Sur - 06, PERIODO FACTURADO MAY/05/2021 a JUN/03/2021.  POR VALOR $ 34.660 FACTURA. 638381760-3</t>
  </si>
  <si>
    <t>Prestar servicios de interpretación en Lengua de Señas Colombiana a la población con discapacidad auditiva y sordoceguera según los requerimientos dela Subsecretaría para la Gobernabilidad y la Garantía de Derechos y el Sistema Distrital de Discapacidad; a través de la Secretaría Técnica Distrital de Discapacidad.</t>
  </si>
  <si>
    <t>Prestar servicios de interpretación en Lengua de Señas Colombiana a la población con discapacidad auditiva y sordoceguera según los requerimientos dela Subsecretaría para la Gobernabilidad y la Garantía de Derechos y el Sistema Distrital de Discapacidad; a través de la Secretaría Técnica Distrital de Discapacidad</t>
  </si>
  <si>
    <t>PRESTAR SERVICIOS PROFESIONALES EN LA DIRECCIÓN DE DERECHOS HUMANOS PARA GARANTIZAR LA ATENCIÓN JURÍDICA REQUERIDA PARA LA IMPLEMENTACIÓN DE LA ESTRATEGIA DE PREVENCIÓN DE VULNERACIONES A LOS DERECHOS A LA VIDA, LIBERTAD, INTEGRIDADY SEGURIDAD DE PERSONAS LGBTI, VICTIMAS DEL DELITO DE TRATA DE PERSONAS O DE ABUSO DE AUTORIDAD Y/O DE FUERZA, LIDERES, LIDERESAS, DEFENSORES Y DEFENSORAS DE DERECHOS HUMANOS QUE DEMANDEN MEDIDAS DE PREVENCIÓN O PROTECCIÓN.</t>
  </si>
  <si>
    <t>REALIZAR EL PAGO DEL PASIVO EXIGIBLE SEGÚN RESOLUCIÓN No. 271 DE 2021 POR VALOR DE $621.867</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</si>
  <si>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</si>
  <si>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los servicios profesionales especializados en la dirección de derechos humanos para realizar la recolección, procesamiento análisis y seguimiento de las medidas de asistencia brindadas en el componente de rutas de promoción, prevención, atención y protección a los derechos a la vida libertad integridad y seguridad de personas y grupos de especial vulnerabilidad así como seguimiento de gestión que se requiere asociadas a las acciones estratégicas de la dirección.</t>
  </si>
  <si>
    <t>1023</t>
  </si>
  <si>
    <t>1013</t>
  </si>
  <si>
    <t>1015</t>
  </si>
  <si>
    <t>1017</t>
  </si>
  <si>
    <t>1005</t>
  </si>
  <si>
    <t>1018</t>
  </si>
  <si>
    <t>1008</t>
  </si>
  <si>
    <t>1024</t>
  </si>
  <si>
    <t>1031</t>
  </si>
  <si>
    <t>1033</t>
  </si>
  <si>
    <t>1035</t>
  </si>
  <si>
    <t>1034</t>
  </si>
  <si>
    <t>1036</t>
  </si>
  <si>
    <t>1053</t>
  </si>
  <si>
    <t>1055</t>
  </si>
  <si>
    <t>1039</t>
  </si>
  <si>
    <t>1063</t>
  </si>
  <si>
    <t>1041</t>
  </si>
  <si>
    <t>1069</t>
  </si>
  <si>
    <t>1042</t>
  </si>
  <si>
    <t>1074</t>
  </si>
  <si>
    <t>1065</t>
  </si>
  <si>
    <t>1088</t>
  </si>
  <si>
    <t>1090</t>
  </si>
  <si>
    <t>1091</t>
  </si>
  <si>
    <t>1068</t>
  </si>
  <si>
    <t>1092</t>
  </si>
  <si>
    <t>1070</t>
  </si>
  <si>
    <t>1098</t>
  </si>
  <si>
    <t>1099</t>
  </si>
  <si>
    <t>Pago de aportes de seguridad social del retroactivo 2021 (Planta de Inversión).</t>
  </si>
  <si>
    <t>Prestar servicios profesionales en la Subsecretaría de Gestión Local para la implementación de los planes, programas y estrategias propias de la misionalidad de la dependencia</t>
  </si>
  <si>
    <t>Prestar servicios profesionales para el apoyo en la revisión, orientación, diagnóstico, fortalecimiento procesal, sustantivo y jurisprudencial en los procesos de primera instancia que se adelantan en la Secretaría Distrital de Gobierno especialmente los relacionados con la planta temporal y de funcionamiento destinada al fortalecimiento del ejercicio policivo</t>
  </si>
  <si>
    <t>Prestar servicios profesionales para el apoyo en la revisión, orientación, diagnóstico, fortalecimiento procesal, sustantivo y jurisprudencial en los procesos de primera instancia que se adelantan en la Secretaría Distrital de Gobierno especialmente los relacionados con la planta temporal y de funcionamiento destinada al fortalecimiento del ejercicio policivo.</t>
  </si>
  <si>
    <t>Prestar los servicios de apoyo a la gestión en la proyección, seguimiento y ejecución de las actividades propias de la secretaría distrital de gobierno</t>
  </si>
  <si>
    <t>Pago de la autoliquidación de la nómina general de mayo de 2021. (Planta de Inversión)</t>
  </si>
  <si>
    <t>Pago de la nómina general de junio de 2021. (Planta de Inversión).</t>
  </si>
  <si>
    <t>Pago de cesantías a un funcionario retirado. (Planta de Inversión)</t>
  </si>
  <si>
    <t>Solicitud CDP de ARL Subsecretaria de Gestión Local mediante memorado 20212000068953  Pago ARL del mes de mayo de 2021 de los contratistas riesgos v, según planilla 51176488</t>
  </si>
  <si>
    <t>Prestar servicios profesionales de carácter jurídico a la Dirección para la Gestión Policiva de la Secretaría Distrital de Gobierno en el trámite jurídico de las actuaciones administrativas represadas en las Alcaldías Locales</t>
  </si>
  <si>
    <t>Prestar los servicios profesionales a la Dirección para la Gestión Policiva con la finalidad de diseñar, desarrollar y gestionar la realización de estrategias pedagógicas para el fortalecimiento de la cultura ciudadana, tendientes a disminuir los comportamientos contrarios a la convivencia, que determine la Dirección.</t>
  </si>
  <si>
    <t>Prestar los servicios profesionales de carácter jurídico a la Dirección Para la Gestión Policiva de la Secretaría Distrital de Gobierno, acompañando la estrategia de descongestión de actuaciones administrativas de competencia de los Alcaldes Locales con anterioridad a La Ley 1801 de 2016, la consolidación y difusión de la línea decisional y el procedimiento respecto a las sanciones de comparendos ambiental.</t>
  </si>
  <si>
    <t>Prestar los servicios profesionales a la Dirección para la Gestión Policiva para acompañar la formulación, ejecución y desarrollo de la Estrategia para la Prevención de Comportamientos Contrarios a la Convivencia</t>
  </si>
  <si>
    <t>Aunar esfuerzos técnicos, operativos y financieros para fortalecer las capacidades institucionales de la Secretaría Distrital de Gobierno, a través del diseño, desarrollo, documentación e implementación de buenas prácticas de innovación pública y asesoría que promuevan la transformación organizacional, estructural y humana, así como mejorar la efectividad de la gestión pública institucional en el nivel central y local, en el marco de una estrategia de Trabajo Inteligente y el apoyo del proceso de consolidación y fortalecimiento del Laboratorio de Innovación Pública.</t>
  </si>
  <si>
    <t>Prestar los servicios de apoyo administrativo que se requieran derivados de la ejecución de los proyectos estratégicos de la Subsecretaría de Gestión Local</t>
  </si>
  <si>
    <t>Prestar servicios profesionales de carácter jurídico a la Dirección Para la Gestión Policiva de la Secretaría Distrital de Gobierno en el acompañamiento y apoyo en el proceso de descongestión de las actuaciones administrativas represadas en las Alcaldías Locales.</t>
  </si>
  <si>
    <t>Prestar los servicios profesionales apoyando los procesos funcionales de los sistemas de información de la Dirección para la Gestión Policiva</t>
  </si>
  <si>
    <t>Prestar los servicios profesionales impulsando los procesos funcionales de los sistemas de información de la Dirección para la Gestión Policiva</t>
  </si>
  <si>
    <t>42</t>
  </si>
  <si>
    <t>821</t>
  </si>
  <si>
    <t>45</t>
  </si>
  <si>
    <t>47</t>
  </si>
  <si>
    <t>48</t>
  </si>
  <si>
    <t>51176488</t>
  </si>
  <si>
    <t>CAMILO ANDRES SALCEDO ANGARITA</t>
  </si>
  <si>
    <t>BEATRIZ ALICIA NULE RHENALS</t>
  </si>
  <si>
    <t>DOUGLAS SMITH CANO MORENO</t>
  </si>
  <si>
    <t>LUCIA INES ZARATE CUBIDES</t>
  </si>
  <si>
    <t>MERLY JOHANNA GARCIA LOPEZ</t>
  </si>
  <si>
    <t>DIANA CAROLINA LEON VALERO</t>
  </si>
  <si>
    <t>NELSON ENRIQUE RUBIO VELASCO</t>
  </si>
  <si>
    <t>GABRIEL ALEJANDRO GONZALEZ DIAZ</t>
  </si>
  <si>
    <t>YENIFER MILADYS FANDIÑO MARTINEZ</t>
  </si>
  <si>
    <t>LEONARDO  ROJAS ACEVEDO</t>
  </si>
  <si>
    <t>SOLUTION COPY LTDA</t>
  </si>
  <si>
    <t>ELBA BRIDGETH PEREZ CUBILLOS</t>
  </si>
  <si>
    <t>JOAN DAVID FERRER JIMENEZ</t>
  </si>
  <si>
    <t>YEIMI PATRICIA PULIDO RINCON</t>
  </si>
  <si>
    <t>1011</t>
  </si>
  <si>
    <t>998</t>
  </si>
  <si>
    <t>1054</t>
  </si>
  <si>
    <t>1060</t>
  </si>
  <si>
    <t>1043</t>
  </si>
  <si>
    <t>1086</t>
  </si>
  <si>
    <t>1094</t>
  </si>
  <si>
    <t>1100</t>
  </si>
  <si>
    <t>1087</t>
  </si>
  <si>
    <t>1104</t>
  </si>
  <si>
    <t>PRESTAR SERVICIOS PROFESIONALES A LA SECRETARÍA DE GOBIERNO EN LA ORGANIZACIÓN Y SEGUIMIENTO DE LAS ACTIVIDADES RELACIONADAS CON EL MANEJO Y CONTROL DE LOS INVENTARIOS DE PROPIEDAD DE LA SECRETARIA DISTRITAL DE GOBIERNO</t>
  </si>
  <si>
    <t>Solicitud CDP de ARL Dirección de Convivencia y Dialogo Social, mediante memorado 20213000005353 Pago ARL del mes de mayo de 2021 de los contratistas riesgos v, según 51176488</t>
  </si>
  <si>
    <t>PRESTAR SERVICIOS EN LA DIRECCIÓN DE CONVIVENCIA Y DIÁLOGO SOCIAL PARA FORTALECER LA CONVIVENCIA, LA CULTURA CIUDADANA Y LA GOBERNABILIDAD EN LA CIUDAD, REALIZAR EL ACOMPAÑAMIENTO DE LOS ESCENARIOS DE CONFLICTIVIDAD Y PROTESTA QUE SE PRESENTEN EN LA CIUDAD, ASISTIR LOS TEMAS RELACIONADOS CON LA CONVIVENCIA, DIÁLOGO SOCIAL Y PROTESTAS</t>
  </si>
  <si>
    <t>PRESTAR LOS SERVICIOS DE APOYO A LA GESTIÓN A LA DIRECCIÓN DE CONVIVENCIA Y DIÁLOGO SOCIAL PARA BRINDAR ACOMPAÑAMIENTO EN LOS PROCESOS DE CONFLICTIVIDAD SOCIAL, MOVILIZACIÓN CIUDADANA, AGLOMERACIONES, ASI COMO APOYARLA IMPLEMENTACIÓN DE ACCIONES DE DIÁLOGO Y PREVENCIÓN QUE SE REQUIERAN EN MATERIA GOBERNABILIDAD Y ASISTIR LOS TEMAS RELACIONADOS CON LA CONVIVENCIA, DIÁLOGO SOCIAL Y PROTESTAS.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</si>
  <si>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</si>
  <si>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861</t>
  </si>
  <si>
    <t>LUZ MERY MUÑOZ PALACIOS</t>
  </si>
  <si>
    <t>ANA BEATRIZ ACEVEDO MORENO</t>
  </si>
  <si>
    <t>LIZETH TATIANA RINCON CASTRO</t>
  </si>
  <si>
    <t>NATALIA GEMA RACERO CRUZ</t>
  </si>
  <si>
    <t>OLMEDO ABELARDO ALTAMIRANO MORENO</t>
  </si>
  <si>
    <t>LINA MARCELA CASTILLO NISPERUZA</t>
  </si>
  <si>
    <t>GUSTAVO ARLEY TREJOS</t>
  </si>
  <si>
    <t>DIEGO FERNANDO CAMARGO MARIN</t>
  </si>
  <si>
    <t>MARIA YANETH RIVERA BEDOYA</t>
  </si>
  <si>
    <t>1062</t>
  </si>
  <si>
    <t>1095</t>
  </si>
  <si>
    <t>Prestar los servicios profesionales especializados para el levantamiento, procesamiento y análisis de información en el proceso de gestión de conocimiento de la estrategia de participación ciudadana y sus diversos instrumentos, en el marco del modelo de Gobierno Abierto de la Secretaría Distrital de Gobierno.</t>
  </si>
  <si>
    <t>YIRDLEY ANDREA MATEUS CETINA</t>
  </si>
  <si>
    <t>1028</t>
  </si>
  <si>
    <t>1025</t>
  </si>
  <si>
    <t>1021</t>
  </si>
  <si>
    <t>1051</t>
  </si>
  <si>
    <t>1056</t>
  </si>
  <si>
    <t>1044</t>
  </si>
  <si>
    <t>1061</t>
  </si>
  <si>
    <t>1083</t>
  </si>
  <si>
    <t>1084</t>
  </si>
  <si>
    <t>PRESTACIÓN DE SERVICIOS PROFESIONALES PARA EL APOYO TECNICO EN EL SEGUIMIENTO, REVISIÓN, VERIFICACIÓN Y SUPERVISIÓN DE LOS TRAMITES DEL PROCESO DE ESTRUCTURACION DEL PROYECTO SMART WORKING DE LA SECRETARIA DISTRITAL DE GOBIERNO</t>
  </si>
  <si>
    <t>PRESTACIÓN DE SERVICIOS PROFESIONALES PARA APOYAR EN LA IMPLEMENTACIÓN DE LOS COMPONENTES DE ESPACIOS E INNOVACIÓN DEL PROYECTO SMART WORKING DE LA SECRETARIA DISTRITAL DE GOBIERNO.</t>
  </si>
  <si>
    <t>PRESTAR LOS SERVICIOS PROFESIONALES EN LOS PROCESOS DE GESTION DEL PATRIMONIO DOCUMENTAL DE LA DIRECCIÓN ADMINISTRATIVA.</t>
  </si>
  <si>
    <t>Solicitud CDP de ARL Dirección Administrativa mediante memorado 20214200075603  Pago ARL del mes de mayo de 2021 de los contratistas riesgos v, según planilla 51176488</t>
  </si>
  <si>
    <t>Prestar los servicios profesionales al despacho del Secretario Distrital de Gobierno para la gestión de recursos técnicos y financieros de cooperación internacional y de la banca multilateral para facilitar el desarrollo de los proyectos estratégicos de la entidad</t>
  </si>
  <si>
    <t>Prestar sus servicios profesionales para apoyar a la oficina de asuntos disciplinarios de la Secretaria Distrital de Gobierno, en la revisión, orientación y diagnóstico de los expedientes disciplinarios en temas financieros</t>
  </si>
  <si>
    <t>Prestar los servicios de apoyo en la proyección, seguimiento y ejecución de las actividades propias de la Oficina de Asuntos Disciplinarios de la Secretaria Distrital de Gobierno</t>
  </si>
  <si>
    <t>PRESTACIÓN DE SERVICIOS PROFESIONALES ESPECIALIZADOS PARA APOYAR EN LA PARTE TECNICA EN EL SEGUIMIENTO, REVISIÓN&lt;(&gt;,&lt;)&gt; VERIFICACIÓN Y SUPERVISIÓN DE LOS TRÁMITES DEL PROCESO DE ESTRUCTURACIÓN DEL PROYECTO SMART WORKING DE LA SECRETARIA DISTRITAL DE GOBIERNO.</t>
  </si>
  <si>
    <t>ANDRES DAVID RIVERA VELANDIA</t>
  </si>
  <si>
    <t>CAMILO EDMUNDO CRUZ SANCHEZ</t>
  </si>
  <si>
    <t>HECTOR GUILLERMO MANTILLA RUEDA</t>
  </si>
  <si>
    <t>DIANA CAROLINA WAKED SIERRA</t>
  </si>
  <si>
    <t>LEIDY ESTEFANIA MARTINEZ BARRERA</t>
  </si>
  <si>
    <t>SONIA ALEJANDRA VELASCO RODRIGUEZ</t>
  </si>
  <si>
    <t>1046</t>
  </si>
  <si>
    <t>1040</t>
  </si>
  <si>
    <t>Prestar servicios profesionales a la Subsecretaria de Gestión Local para la elaboración del modelo de gestión local de gestión transparente, incluyente&lt;(&gt;,&lt;)&gt; participativo y colaborativo local</t>
  </si>
  <si>
    <t>REALIZAR LA ADICION Y PRORROGA DEL CONTRATO 531 DE 2021 SUSCRITO ENTRE LA SECRETARIA DISTRITAL DE GOBIERNO Y ANDREA DEL PILAR GUTIÉRREZ PARRA</t>
  </si>
  <si>
    <t>Prestar servicios profesionales en la Subsecretaría de Gestión Local en el marco del fortalecimiento del Observatorio de Gestión Local a través de la puesta en marcha del Centro de Gobierno Local y sus componentes.</t>
  </si>
  <si>
    <t>Prestar servicios profesionales en la formulación, ejecución, socialización y retroalimentación de estrategias encaminadas a fortalecer el modelo de gestión energética de la entidad, especialmente las relacionadas con el Sistema de Gestión Ambiental y su aplicación en los fondos de desarrollo local</t>
  </si>
  <si>
    <t>DIANA MARCELA PARRA VERA</t>
  </si>
  <si>
    <t>OSCAR FELIPE GOMEZ QUINTERO</t>
  </si>
  <si>
    <t>1112</t>
  </si>
  <si>
    <t>1115</t>
  </si>
  <si>
    <t>1116</t>
  </si>
  <si>
    <t>1117</t>
  </si>
  <si>
    <t>1118</t>
  </si>
  <si>
    <t>1119</t>
  </si>
  <si>
    <t>1120</t>
  </si>
  <si>
    <t>1129</t>
  </si>
  <si>
    <t>1137</t>
  </si>
  <si>
    <t>1130</t>
  </si>
  <si>
    <t>1145</t>
  </si>
  <si>
    <t>1188</t>
  </si>
  <si>
    <t>1186</t>
  </si>
  <si>
    <t>1194</t>
  </si>
  <si>
    <t>1195</t>
  </si>
  <si>
    <t>1208</t>
  </si>
  <si>
    <t>1221</t>
  </si>
  <si>
    <t>1248</t>
  </si>
  <si>
    <t>1222</t>
  </si>
  <si>
    <t>1252</t>
  </si>
  <si>
    <t>1236</t>
  </si>
  <si>
    <t>1270</t>
  </si>
  <si>
    <t>1247</t>
  </si>
  <si>
    <t>1275</t>
  </si>
  <si>
    <t>1234</t>
  </si>
  <si>
    <t>1278</t>
  </si>
  <si>
    <t>1223</t>
  </si>
  <si>
    <t>1284</t>
  </si>
  <si>
    <t>1274</t>
  </si>
  <si>
    <t>1294</t>
  </si>
  <si>
    <t>1273</t>
  </si>
  <si>
    <t>1302</t>
  </si>
  <si>
    <t>1226</t>
  </si>
  <si>
    <t>1318</t>
  </si>
  <si>
    <t>1224</t>
  </si>
  <si>
    <t>1320</t>
  </si>
  <si>
    <t>1267</t>
  </si>
  <si>
    <t>1321</t>
  </si>
  <si>
    <t>1329</t>
  </si>
  <si>
    <t>1330</t>
  </si>
  <si>
    <t>1266</t>
  </si>
  <si>
    <t>1334</t>
  </si>
  <si>
    <t>JESUS FERNEY NEUTA FERNANDEZ</t>
  </si>
  <si>
    <t>LEYDY MILENA GONZALEZ</t>
  </si>
  <si>
    <t>JOSE REINEL NEUTA TUNJO</t>
  </si>
  <si>
    <t>WILLIAM ALEJANDRO JIMENEZ MENDEZ</t>
  </si>
  <si>
    <t>MARIA NELSY CHIGUASUQUE NEUTA</t>
  </si>
  <si>
    <t>51656975</t>
  </si>
  <si>
    <t>6408367620</t>
  </si>
  <si>
    <t>640836762</t>
  </si>
  <si>
    <t>37111056315</t>
  </si>
  <si>
    <t>6406414229</t>
  </si>
  <si>
    <t>640341425</t>
  </si>
  <si>
    <t>35113949115</t>
  </si>
  <si>
    <t>6419960875</t>
  </si>
  <si>
    <t>641996087</t>
  </si>
  <si>
    <t>37717998217</t>
  </si>
  <si>
    <t>1010</t>
  </si>
  <si>
    <t>1038</t>
  </si>
  <si>
    <t>1037</t>
  </si>
  <si>
    <t>6428809645</t>
  </si>
  <si>
    <t>39073149710</t>
  </si>
  <si>
    <t>1045</t>
  </si>
  <si>
    <t>RECLASIFICION DE ARL A RIESGO V A LOS CONTRATISTAS DE ACUERDO AL MEMORANDO 20212000180713  PAGO DEL RIESGO LABORAL DE LOS CONTRATISTAS CON RIESGO V, DEL MES DE JUNIO, SEGÚN PLANILLA 51656975</t>
  </si>
  <si>
    <t>Pago de servicios públicos de los inmuebles en donde se encuentran los espacios de atención diferenciada CONFIA y Casa Indígena  Pago del servicio de energía del centro de orientación y fortalecimiento integral Afrobogotano (CONFIA) candelaria, ubicado en la Calle 9 No. 4-70, periodo facturado 26 de mayo al 25 de junio de 2021, según factura No. 6408367620.</t>
  </si>
  <si>
    <t>Pago de servicios públicos de los inmuebles en donde se  encuentran los espacios de atención diferenciada CONFIA y Casa Indígena.  Pago del servicio de aseo del centro de orientación y fortalecimiento integral Afrobogotano (CONFIA) Candelaria, ubicado en la Calle 9 No. 4-70, periodo facturado el 02 de mayo de 2021, según factura No. 640836762.</t>
  </si>
  <si>
    <t>Pago de servicios públicos de los inmuebles en donde se encuentran los espacios de atención diferenciada CONFIA y Casa Indígena.  Pago del servicio de acueducto y alcantarillado del Centro de orientación y fortalecimiento integral Afrobogotano (CONFIA)Candelaria, ubicado en la Calle 9 No. 4-70, periodo facturado del 31 de marzo al 28 de mayo de 2021, según factura No. 37111056315.</t>
  </si>
  <si>
    <t>Pago de servicios públicos de los inmuebles en donde se encuentran los espacios de atención diferenciada CONFIA y Casa Indígena  Pago del servicio de energía de la Casa del Pensamiento Indígena, ubicado en la Calle 9 No. 9-60, periodo facturado del 21 de mayo al 22 de junio de 2021, según facturas No. 640341425, 640341429, 640341422, 640341426, 640341423, 640341427, 640341421, 640341432, 640341420 y 64031424.</t>
  </si>
  <si>
    <t>Pago de servicios públicos de los inmuebles en donde se encuentran los espacios de atención diferenciada CONFIA y Casa Indígena  Pago del servicio de aseo de la casa del pensamiento indígena, ubicada en la Calle 9 No. 9-60, periodo facturado 28 de abril al 27 de mayo de 2021, .según facturas No. 640341425, 640341429, 640341422, 640341426, 640341423, 640341427, 640341421, 640341420 y 640341424.</t>
  </si>
  <si>
    <t>Pago de servicios públicos de los inmuebles en donde se encuentran los espacios de atención diferenciada CONFIA y Casa Indígena  Pago del servicio de acueducto y alcantarillado de la Casa del Pensamiento Indígena, periodo facturado 28 de marzo al 26 de mayo de 2021, según factura No. 35113949115.</t>
  </si>
  <si>
    <t>Prestar servicios de apoyo como sabedor en la Subdirección de Asuntos Étnicos, para la articulación y armonización propia desde la cosmovisión de la comunidad indígena Muisca de Bosa, para la implementación de las acciones correspondiente de la meta del plan de desarrollo plan de vida concertado en el proceso de consulta previa del Plan Parcial El Edén El Descanso.</t>
  </si>
  <si>
    <t>Prestar servicios de apoyo como sabedora en la Subdirección de Asuntos Étnicos, para la articulación y armonización propia desde la cosmovisión de la comunidad indígena Muisca de Bosa, para la implementación de las acciones correspondiente de la meta del plan de desarrollo plan de vida concertado en el proceso de consulta previa del Plan Parcial El Edén El Descanso</t>
  </si>
  <si>
    <t>Pago de servicios públicos de los inmuebles en donde se encuentran los espacios de atención diferenciada CONFIA y Casa Indígena  pago del servicio de energía del Centro de Orientación y Fortalecimiento Integral Afrobogotano (CONFIA, ubicado en la carrera 3 No. 30 a sur - 06, periodo facturado 03 de junio al 06 de julio de 2021, según factura No. 641995087-5.</t>
  </si>
  <si>
    <t>Pago de servicios públicos de los inmuebles en donde se encuentran los espacios de atención diferenciada CONFIA y Casa Indígena  Pago del servicio de aseo del Centro de Orientación y Fortalecimiento Integral Afrobogotano (CONFIA), ubicado en la carrera 3 No. 3 a sur - 06, periodo facturado 13 de mayo al 12 de junio de 2021, según factura No. 641996087.</t>
  </si>
  <si>
    <t>Pago de servicios públicos de los inmuebles en donde se encuentran los espacios de atención diferenciada CONFIA y Casa Indígena  Pago del servicio de acueducto y alcantarillado de Confía San Cristobal, ubicado carrera 3 No. 30A sur - 08, periodo facturado 27 de febrero al 27 de abril de 2021, según factura No. 37717998217.</t>
  </si>
  <si>
    <t>PRESTAR SERVICIOS PROFESIONALES EN LA DIRECCIÓN DE DERECHOS HUMANOS APOYANDO LA COORDINACIÓN DE ACTIVIDADES MISIONALES Y ESTRATÉGICAS A CARGO DE LA DIRECCIÓN Y SUS DEPENDENCIAS.</t>
  </si>
  <si>
    <t>PRESTAR SERVICIOS PROFESIONALES EN LA DIRECCIÓN DE DERECHOS HUMANOS PARA APOYAR LA COORDINACIÓN DE LA IMPLEMENTACIÓN, SEGUIMIENTO Y REPORTE A LA IMPLEMENTACIÓN DEL PROGRAMA DISTRITAL DE EDUCACIÓN EN DERECHOS HUMANOS PARA LA PAZ Y RECONCILIACIÓN.</t>
  </si>
  <si>
    <t>Prestar servicios profesionales en la subdirección de asuntos de libertad religiosa y de conciencia para realizar la gestión técnica para la implementación y territorialización de la política pública distrital de libertades fundamentales de religión, culto y conciencia, la plataforma interreligiosa para la acción social y comunitaria (pirpas), y el fortalecimiento de la participación ciudadana del sector.</t>
  </si>
  <si>
    <t>PRESTAR SERVICIOS PROFESIONALES EN LA DIRECCIÓN DE DERECHOS HUMANOS PARA APOYAR EN LA FORMULACIÓN, AJUSTES Y CUMPLIMIENTO DEL PLAN DE TRABAJO 2021 DEL EQUIPO DE PREVENCIÓN Y PROTECCIÓN, EN PARTICULAR PARA LA RUTA DE ATENCIÓN A LAS VÍCTIMAS DEL DELITO DE TRATA DE PERSONAS.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</si>
  <si>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</si>
  <si>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como sabedora en la Subdirección de Asuntos Étnicos, para la articulación y armonización propia desde la cosmovisión de la comunidad indígena Muisca de Bosa, para la implementación de las acciones correspondiente de la meta del plan de desarrollo plan de vida concertado en el proceso de consulta previa del Plan Parcial El Edén El Descanso.</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</si>
  <si>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</si>
  <si>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PRESTAR SERVICIOS PROFESIONALES EN LA SUBDIRECCIÓN DE ASUNTOS ÉTNICOS EN TEMAS RELACIONADOS CON LA POBLACION GITANA EN EL SEGUIMIENTO A LA IMPLEMENTACIÓN DE LOS PLANES DE ACCIONES AFIRMATIVAS PARA GRUPOS ÉTNICOS Y GESTIÓN INTERINSTITUCIONAL DE LOS MISMOS EN CONCERTACIÓN CON LAS POBLACIONES ÉTNICAS.</t>
  </si>
  <si>
    <t>Pago de servicios públicos de los inmuebles en donde se encuentran los espacios de atención diferenciada CONFIA y Casa Indígena  PAGO DEL SERVICIO DE ENERGIA DEL CENTRO CONFIA DE SUBA, UBICADO EN LA DIAGONAL 115 A No. 70D-95, PERIODO FACTURADO 11 DER JUNIO AL 13 DE JULIO DE 2021, SEGÚN FACTURA No. 642880964-5.</t>
  </si>
  <si>
    <t>Pago de servicios públicos de los inmuebles en donde se encuentran los espacios de atención diferenciada CONFIA y Casa Indígena  PAGO DEL SERVICIO DE ACUEDUCTO Y ALCANTARILLADO DEL CENTRO CONFIA DE SUBA, UBICADO EN LA DIAGONAL 115 A No. 70D-95, PERIODO FACTURADO DEL 8 DE ABRIL AL 05 DE JUNIO DE 2021, SEGÚN FACTURA No. 39073149710.</t>
  </si>
  <si>
    <t>ADICIÓN CCS20210781 (MIGUEL ANGEL GONZÁLEZ) PRESTAR SERVICIOS COMO ORIENTADOR OPERATIVO, PARA LA EJECUCIÓN DEL CONVENIO INTERADMINIS TRATIVO 0699 DE 2020 SUSCRITO ENTRE SDA, SDH, SDG, SDSCJ Y EL IDIPRON EN EL MARCO DEL P. 7726</t>
  </si>
  <si>
    <t>1105</t>
  </si>
  <si>
    <t>1110</t>
  </si>
  <si>
    <t>1113</t>
  </si>
  <si>
    <t>1156</t>
  </si>
  <si>
    <t>1122</t>
  </si>
  <si>
    <t>1151</t>
  </si>
  <si>
    <t>1123</t>
  </si>
  <si>
    <t>1146</t>
  </si>
  <si>
    <t>1124</t>
  </si>
  <si>
    <t>1153</t>
  </si>
  <si>
    <t>1125</t>
  </si>
  <si>
    <t>1147</t>
  </si>
  <si>
    <t>1126</t>
  </si>
  <si>
    <t>1152</t>
  </si>
  <si>
    <t>1127</t>
  </si>
  <si>
    <t>1155</t>
  </si>
  <si>
    <t>1128</t>
  </si>
  <si>
    <t>1154</t>
  </si>
  <si>
    <t>1159</t>
  </si>
  <si>
    <t>1149</t>
  </si>
  <si>
    <t>1131</t>
  </si>
  <si>
    <t>1150</t>
  </si>
  <si>
    <t>1132</t>
  </si>
  <si>
    <t>1157</t>
  </si>
  <si>
    <t>1133</t>
  </si>
  <si>
    <t>1160</t>
  </si>
  <si>
    <t>1134</t>
  </si>
  <si>
    <t>1148</t>
  </si>
  <si>
    <t>1135</t>
  </si>
  <si>
    <t>1170</t>
  </si>
  <si>
    <t>1183</t>
  </si>
  <si>
    <t>1191</t>
  </si>
  <si>
    <t>1198</t>
  </si>
  <si>
    <t>1179</t>
  </si>
  <si>
    <t>1201</t>
  </si>
  <si>
    <t>1193</t>
  </si>
  <si>
    <t>1205</t>
  </si>
  <si>
    <t>1185</t>
  </si>
  <si>
    <t>1209</t>
  </si>
  <si>
    <t>1214</t>
  </si>
  <si>
    <t>1245</t>
  </si>
  <si>
    <t>1244</t>
  </si>
  <si>
    <t>1212</t>
  </si>
  <si>
    <t>1271</t>
  </si>
  <si>
    <t>1283</t>
  </si>
  <si>
    <t>1279</t>
  </si>
  <si>
    <t>1288</t>
  </si>
  <si>
    <t>1289</t>
  </si>
  <si>
    <t>1169</t>
  </si>
  <si>
    <t>1290</t>
  </si>
  <si>
    <t>1301</t>
  </si>
  <si>
    <t>1303</t>
  </si>
  <si>
    <t>1253</t>
  </si>
  <si>
    <t>1306</t>
  </si>
  <si>
    <t>1280</t>
  </si>
  <si>
    <t>1307</t>
  </si>
  <si>
    <t>1315</t>
  </si>
  <si>
    <t>1291</t>
  </si>
  <si>
    <t>1325</t>
  </si>
  <si>
    <t>PRESTAR SUS SERVICIOS PROFESIONALES EN LOS PROCESOS DE GESTIÓN DEL PATRIMONIO DOCUMENTAL DE LA SECRETARÍA DISTRITAL DE GOBIERNO</t>
  </si>
  <si>
    <t>Solicitud CDP de ARL Subsecretaria de Gestión Local mediante memorado 20212000068953  PAGO ARL DEL MES DE JUNIO, DE LOS CONTRATISTAS CON RIESGO V, SEGÚN PLANILLA 51656975.</t>
  </si>
  <si>
    <t>RECLASIFICION DE ARL A RIESGO V A LOS CONTRATISTAS DE ACUERDO AL  MEMORANDO 20212000180713  PAGO DEL RIESGO LABORAL DE LOS CONTRATISTAS DE RIESGO V, DEL MES DE JUNIO, SEGUN PLANILLA 51656975.</t>
  </si>
  <si>
    <t>REALIZAR LA ADICION Y PRORROGA DEL CONTRATO 723 DE 2021 SUSCRITO ENTRE LA SECRETARIA DISTRITAL DE GOBIERNO Y NADIA IBETH CARRIZOSA COVALEDA</t>
  </si>
  <si>
    <t>REALIZAR LA ADICION Y PRORROGA DEL CONTRATO 738 DE 2021 SUSCRITO ENTRE LA SECRETARIA DISTRITAL DE GOBIERNO Y GELSY CAROLINA CHAPARRO VASQUEZ</t>
  </si>
  <si>
    <t>REALIZAR LA ADICION Y PRORROGA DEL CONTRATO 726 DE 2021 SUSCRITO ENTRE LA SECRETARIA DISTRITAL DE GOBIERNO Y ALEXI CONTRERAS CARVAJAL</t>
  </si>
  <si>
    <t>REALIZAR LA ADICION Y PRORROGA DEL CONTRATO 743 DE 2021 SUSCRITO ENTRE LA SECRETARIA DISTRITAL DE GOBIERNO Y KELY YICETH DELGADO TRILLOS</t>
  </si>
  <si>
    <t>REALIZAR LA ADICION Y PRORROGA DEL CONTRATO 730 DE 2021 SUSCRITO ENTRE LA SECRETARIA DISTRITAL DE GOBIERNO Y ANABIA JULIETH ANGARITA GALINDO</t>
  </si>
  <si>
    <t>REALIZAR LA ADICION Y PRORROGA DEL CONTRATO 736 DE 2021 SUSCRITO ENTRE LA SECRETARIA DISTRITAL DE GOBIERNO Y GIOVANI NARANJO FLOREZ</t>
  </si>
  <si>
    <t>REALIZAR LA ADICION Y PRORROGA DEL CONTRATO 734 DE 2021 SUSCRITO ENTRE LA SECRETARIA DISTRITAL DE GOBIERNO Y MARIA CAROLINA LOPEZ MERCHAN</t>
  </si>
  <si>
    <t>REALIZAR LA ADICION Y PRORROGA DEL CONTRATO 727 DE 2021 SUSCRITO ENTRE LA SECRETARIA DISTRITAL DE GOBIERNO Y LYNA SOLVEY BOGOYA BURGOS</t>
  </si>
  <si>
    <t>REALIZAR LA ADICION Y PRORROGA DEL CONTRATO 729 DE 2021 SUSCRITO ENTRE LA SECRETARIA DISTRITAL DE GOBIERNO Y LORENA BURBANO SALAS</t>
  </si>
  <si>
    <t>REALIZAR LA ADICION Y PRORROGA DEL CONTRATO 740 DE 2021 SUSCRITO ENTRE LA SECRETARIA DISTRITAL DE GOBIERNO Y CHRISTIAN BENJAMIN GALEANO LEMOS</t>
  </si>
  <si>
    <t>REALIZAR LA ADICION Y PRORROGA DEL CONTRATO 725 DE 2021 SUSCRITO ENTRE LA SECRETARIA DISTRITAL DE GOBIERNO Y DAVID ERNESTO CABRERA MOJICA</t>
  </si>
  <si>
    <t>REALIZAR LA ADICION Y PRORROGA DEL CONTRATO 731 DE 2021 SUSCRITO ENTRE LA SECRETARIA DISTRITAL DE GOBIERNO Y CARLOS FELIPE TELLEZ PINZON</t>
  </si>
  <si>
    <t>REALIZAR LA ADICION Y PRORROGA DEL CONTRATO 735 DE 2021 SUSCRITO ENTRE LA SECRETARIA DISTRITAL DE GOBIERNO Y GALEANO CIPAGAUTA ANDREA NATALY</t>
  </si>
  <si>
    <t>REALIZAR LA ADICION Y PRORROGA DEL CONTRATO 739 DE 2021 SUSCRITO ENTRE LA SECRETARIA DISTRITAL DE GOBIERNO Y ANGELICA MARIA DIAZ HIGUERA</t>
  </si>
  <si>
    <t>Pago de la autoliquidación de la nómina general de junio 2021. (Planta de Inversión)</t>
  </si>
  <si>
    <t>Prestar servicios profesionales para apoyar a la Secretaría Distrital de Gobierno, en la revisión, orientación, diagnóstico, fortalecimiento procesal&lt;(&gt;,&lt;)&gt; sustantivo y jurisprudencial en los procesos de primera instancia que se adelantan en la dependencia.</t>
  </si>
  <si>
    <t>Prestar servicios profesionales para apoyar a la Secretaria Distrital de Gobierno, en la revisión, orientación, diagnostico, fortalecimiento procesal, sustantivo y jurisprudencial en los procesos de primera instancia que se adelantan en la dependencia.</t>
  </si>
  <si>
    <t>Prestar los servicios profesionales a la Dirección para la Gestión Policiva de la Secretaria Distrital de Gobierno, en el desarrollo del proceso de actualización del aplicativo SI ACTUA a partir de la información documental existente en los expedientes que reposan en los archivos de las Alcaldías Locales.</t>
  </si>
  <si>
    <t>Prestar sus servicios profesionales para apoyar a la Secretaría Distrital de Gobierno, en la revisión, orientación, diagnostico, fortalecimiento procesal&lt;(&gt;,&lt;)&gt; sustantivo y jurisprudencial en los procesos de primera instancia que se requieran.</t>
  </si>
  <si>
    <t>Prestar servicios profesionales para apoyar a la Secretaria Distrital de Gobierno, en la revisión, orientación, diagnostico, fortalecimiento procesal&lt;(&gt;,&lt;)&gt; sustantivo y jurisprudencial en los procesos de primera instancia que se adelantan en la dependencia.</t>
  </si>
  <si>
    <t>Prestar servicios profesionales especializados para la asesoría y el acompañamiento jurídico requeridos en la formulación e implementación de estrategias lideradas por la Secretaría Distrital de Gobierno.</t>
  </si>
  <si>
    <t>Pago de la nómina general del mes de julio de 2021. (Planta de Inversión).</t>
  </si>
  <si>
    <t>Prestar sus servicios profesionales para apoyar a la Secretaría Distrital de Gobierno, en la revisión, orientación y diagnóstico de los expedientes disciplinarios en temas financieros que se requieran.</t>
  </si>
  <si>
    <t>Prestar los servicios profesionales para apoyar en la formulación, implementación y el desarrollo de productos periodísticos en la Secretaría Distrital de Gobierno.</t>
  </si>
  <si>
    <t>Prestar servicios profesionales para brindar apoyo jurídico en la gestión precontractual, contractual y post contractual de la Secretaría Distrital de Gobierno.</t>
  </si>
  <si>
    <t>Prestar los servicios profesionales en el fortalecimiento de las gestiones de carácter administrativo y contractual de la Secretaría Distrital de Gobierno.</t>
  </si>
  <si>
    <t>Prestar los servicios profesionales especializados para adelantar los desarrollos necesarios para estabilizar la herramienta ARCO en su relación funcional.</t>
  </si>
  <si>
    <t>Prestar servicios profesionales especializados para brindar apoyo jurídico en la gestión precontractual, contractual y post contractual de la Secretaría Distrital de Gobierno.</t>
  </si>
  <si>
    <t>Prestar los servicios de apoyo a la gestión a la Secretaría Distrital de Gobierno en la proyección, seguimiento y ejecución de las actividades propias de la supervisión.</t>
  </si>
  <si>
    <t>Prestar servicios profesionales para brindar apoyo jurídico en la gestión precontractual, contractual y post contractual de la Secretaría Distrital de Gobierno</t>
  </si>
  <si>
    <t>Prestar los servicios profesionales en la Secretaría Distrital de Gobierno, para apoyar el desarrollo de las gestiones de carácter contractual y la realización de las actividades administrativas que de estas se deriven</t>
  </si>
  <si>
    <t>53</t>
  </si>
  <si>
    <t>56</t>
  </si>
  <si>
    <t>LAURA ELIZABETH GUTIERREZ ORTIZ</t>
  </si>
  <si>
    <t>NUBIA MILENA RUBIO HERNANDEZ</t>
  </si>
  <si>
    <t>JOHN WILSON CANO AVILA</t>
  </si>
  <si>
    <t>JUAN PABLO MONROY</t>
  </si>
  <si>
    <t>FRANCISCO JAVIER CAMARGO RAMOS</t>
  </si>
  <si>
    <t>DIANA LEONOR BUITRAGO VILLEGAS</t>
  </si>
  <si>
    <t>ALCIDES  AGUILAR PIRATOVA</t>
  </si>
  <si>
    <t>CATALINA  ARANZAZU MEJIA</t>
  </si>
  <si>
    <t>JOSE RICARDO VARGAS GOMEZ</t>
  </si>
  <si>
    <t>1109</t>
  </si>
  <si>
    <t>1114</t>
  </si>
  <si>
    <t>1141</t>
  </si>
  <si>
    <t>1139</t>
  </si>
  <si>
    <t>1142</t>
  </si>
  <si>
    <t>1144</t>
  </si>
  <si>
    <t>1143</t>
  </si>
  <si>
    <t>1140</t>
  </si>
  <si>
    <t>1138</t>
  </si>
  <si>
    <t>1158</t>
  </si>
  <si>
    <t>1162</t>
  </si>
  <si>
    <t>1167</t>
  </si>
  <si>
    <t>1175</t>
  </si>
  <si>
    <t>1165</t>
  </si>
  <si>
    <t>1177</t>
  </si>
  <si>
    <t>1190</t>
  </si>
  <si>
    <t>1181</t>
  </si>
  <si>
    <t>1192</t>
  </si>
  <si>
    <t>1168</t>
  </si>
  <si>
    <t>1204</t>
  </si>
  <si>
    <t>1189</t>
  </si>
  <si>
    <t>1202</t>
  </si>
  <si>
    <t>1215</t>
  </si>
  <si>
    <t>1200</t>
  </si>
  <si>
    <t>1235</t>
  </si>
  <si>
    <t>1211</t>
  </si>
  <si>
    <t>1166</t>
  </si>
  <si>
    <t>1237</t>
  </si>
  <si>
    <t>1213</t>
  </si>
  <si>
    <t>1240</t>
  </si>
  <si>
    <t>1250</t>
  </si>
  <si>
    <t>1220</t>
  </si>
  <si>
    <t>1261</t>
  </si>
  <si>
    <t>1229</t>
  </si>
  <si>
    <t>1264</t>
  </si>
  <si>
    <t>1231</t>
  </si>
  <si>
    <t>1265</t>
  </si>
  <si>
    <t>1217</t>
  </si>
  <si>
    <t>1232</t>
  </si>
  <si>
    <t>1268</t>
  </si>
  <si>
    <t>1228</t>
  </si>
  <si>
    <t>1227</t>
  </si>
  <si>
    <t>1276</t>
  </si>
  <si>
    <t>1219</t>
  </si>
  <si>
    <t>1277</t>
  </si>
  <si>
    <t>1218</t>
  </si>
  <si>
    <t>1230</t>
  </si>
  <si>
    <t>1281</t>
  </si>
  <si>
    <t>1285</t>
  </si>
  <si>
    <t>1255</t>
  </si>
  <si>
    <t>1246</t>
  </si>
  <si>
    <t>1292</t>
  </si>
  <si>
    <t>1269</t>
  </si>
  <si>
    <t>1293</t>
  </si>
  <si>
    <t>1295</t>
  </si>
  <si>
    <t>1282</t>
  </si>
  <si>
    <t>1297</t>
  </si>
  <si>
    <t>1300</t>
  </si>
  <si>
    <t>1298</t>
  </si>
  <si>
    <t>1251</t>
  </si>
  <si>
    <t>1299</t>
  </si>
  <si>
    <t>1257</t>
  </si>
  <si>
    <t>1304</t>
  </si>
  <si>
    <t>1305</t>
  </si>
  <si>
    <t>1233</t>
  </si>
  <si>
    <t>1308</t>
  </si>
  <si>
    <t>1256</t>
  </si>
  <si>
    <t>1314</t>
  </si>
  <si>
    <t>1316</t>
  </si>
  <si>
    <t>1286</t>
  </si>
  <si>
    <t>1317</t>
  </si>
  <si>
    <t>1319</t>
  </si>
  <si>
    <t>1322</t>
  </si>
  <si>
    <t>1263</t>
  </si>
  <si>
    <t>1324</t>
  </si>
  <si>
    <t>1313</t>
  </si>
  <si>
    <t>1326</t>
  </si>
  <si>
    <t>1327</t>
  </si>
  <si>
    <t>1328</t>
  </si>
  <si>
    <t>1335</t>
  </si>
  <si>
    <t>Solicitud CDP de ARL Dirección de Convivencia y Dialogo Social, mediante memorado 20213000005353  PAGO DE ARL DE CONTRATISTAS CON RIESGO V, DEL MES DE JUNIO DE 2021, SEGÚN PLANILLA 51656975.</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</si>
  <si>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t>
  </si>
  <si>
    <t>PRESTAR LOS SERVICIOS DE APOYO A LA GESTIÓN A LA DIRECCIÓN DE CONVIVENCIA Y DIÁLOGO SOCIAL PARA BRINDARACOMPAÑAMIENTO EN LOS PROCESOS DE CONFLICTIVIDAD SOCIAL, MOVILIZACIÓN CIUDADANA, AGLOMERACIONES, APOYAR LA IMPLEMENTACIÓN DE ACCIONES DE DIÁLOGO Y PREVENCIÓN QUE SE REQUIERAN EN MATERIA GOBERNABILIDAD, ASISTIR LOS TEMAS RELACIONADOS CON LA CONVIVENCIA, DIÁLOGO SOCIAL Y PROTESTA.</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</si>
  <si>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</si>
  <si>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SERVICIOS PROFESIONALES EN LA DIRECCIÓN DE CONVIVENCIA Y DIÁLOGO SOCIAL PARA APOYAR EL CORRECTO DESEMPEÑO MISIONAL DE LA DIRECCIÓN EN LOS TEMAS RELACIONADOS CON LA CONVIVENCIA, DIÁLOGO SOCIAL Y PROTESTAS SOCIALES.</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</si>
  <si>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</si>
  <si>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</si>
  <si>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SERVICIOS PROFESIONALES EN LA DIRECCIÓN DE CONVIVENCIA Y DIÁLOGO SOCIAL PARA APOYAR EL CORRECTO DESEMPEÑO MISIONAL DE LA DIRECCIÓN EN LOS TEMAS RELACIONADOS CON LA CONVIVENCIA, DIÁLOGO SOCIAL Y PROTESTAS SOCIALES</t>
  </si>
  <si>
    <t>Aunar esfuerzos técnicos, administrativos y financieros para desarrollar un proceso de formación, fortalecimiento y acompañamiento teórico y práctico, en el marco de las iniciativas ciudadanas juveniles y los consejos locales y distrital de juventud para la vigencia 2021.</t>
  </si>
  <si>
    <t>Prestar los servicios profesionales en la Secretaría de Gobierno, para apoyar el desarrollo de las gestiones de carácter contractual y la realización de las actividades administrativas que de estas se deriven</t>
  </si>
  <si>
    <t>PRESTAR SUS SERVICIOS PROFESIONALES PARA APOYAR A LA SECRETARIA DISTRITAL DE GOBIERNO, EN LA REVISIÓN&lt;(&gt;,&lt;)&gt;ORIENTACIÓN, DIAGNOSTICO, FORTALECIMIENTO PROCESAL, SUSTANTIVO Y JURISPRUDENCIAL EN LOS PROCESOS DE PRIMERA INSTANCIA QUE SE ADELANTAN EN LA ENTIDAD.</t>
  </si>
  <si>
    <t>Prestar servicio profesional en la formulación de estrategias para la implementación territorial de las líneas de fortalecimiento técnico y cultura de convivencia del programa de Diálogo Social.</t>
  </si>
  <si>
    <t>Prestar los servicios técnicos en la Secretaría Distrital de Gobierno para la coordinación en diseño y producción, diagramación de piezas gráficas y nuevos formatos para divulgar la gestión de las dependencias de la entidad.</t>
  </si>
  <si>
    <t>Prestar los servicios profesionales en la Secretaría Distrital de Gobierno, para apoyar el desarrollo de las gestiones de carácter contractual y la realización de las actividades administrativas que de estas se deriven.</t>
  </si>
  <si>
    <t>Prestar servicios profesionales en el marco de las acciones de gestión por adelantar en la Dirección de Convivencia y Diálogo Social.</t>
  </si>
  <si>
    <t>PRESTAR SERVICIOS PROFESIONALES EN LA DIRECCIÓN DE CONVIVENCIA Y DIÁLOGO SOCIAL PARA FORTALECER LA CONVIVENCIA, LA CULTURA CIUDADANA Y LA GOBERNABILIDAD EN LA CIUDAD, ASÍ COMO REALIZAR EL ACOMPAÑAMIENTO DE LOS ESCENARIOS DE CONFLICTIVIDAD Y PROTESTA QUE SE PRESENTEN EN LA CIUDAD.</t>
  </si>
  <si>
    <t>Prestar servicios profesionales especializados en la formulación e implementación de estrategias para el desarrollo de acciones en la Dirección de Convivencia y Diálogo Social</t>
  </si>
  <si>
    <t>Prestar servicios de apoyo a la gestión en la Secretaria Distrital de Gobierno para la implementación de la Política Pública Distrital de Atención a la Ciudadanía.</t>
  </si>
  <si>
    <t>Prestar servicios de apoyo a la gestión en la Secretaria Distrital de Gobierno para la implementación de la Política Pública Distrital de Atención a la Ciudadanía</t>
  </si>
  <si>
    <t>PRESTAR LOS SERVICIOS PROFESIONALES EN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</si>
  <si>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SERVICIOS DE APOYO A LA GESTIÓN EN LA SECRETARÍA DE GOBIERNO EN LAS ACTIVIDADES DE CARÁCTER ADMINISTRATIVO Y/U OPERATIVO EN EL MARCO DE LA IMPLEMENTACIÓN Y SEGUIMIENTO DE LOS PROCESOS DE APOYO Y MISIONALES A CARGO DE LAS DEPENDENCIAS.</t>
  </si>
  <si>
    <t>REALIZAR LA ADICIÓN Y PRORROGA DEL CONTRATO No. 944 DE 2020 SUSCRITO PORSECRETARÍA DISTRITAL DE GOBIERNO Y ORGANIZACIÓN DE ESTADOS IBEROAMERICANOS  PARA LA EDUCACIÓN, LA CIENCIA Y LA CULTURA -OEI.</t>
  </si>
  <si>
    <t>ERIC DAVID GARCIA ARIZA</t>
  </si>
  <si>
    <t>FREDY ALEXANDER MENDEZ VIRGUES</t>
  </si>
  <si>
    <t>CAMILO ANDRES VELEZ BUSTOS</t>
  </si>
  <si>
    <t>ANDREA CAROLINA CETINA GOMEZ</t>
  </si>
  <si>
    <t>EDGARDO JOSE MAESTRE ROMERO</t>
  </si>
  <si>
    <t>OMAR ANDRES MURILLO BEJARANO</t>
  </si>
  <si>
    <t>JHOAN FERNANDO ALVAREZ GARZON</t>
  </si>
  <si>
    <t>MARIA DEL PILAR BUITRAGO GOMEZ</t>
  </si>
  <si>
    <t>AURA MARIA ALBARRACIN COLORADO</t>
  </si>
  <si>
    <t>DIANA CAROLINA BARACALDO VELASQUEZ</t>
  </si>
  <si>
    <t>RUBEN DARIO ESPINOSA BALLEN</t>
  </si>
  <si>
    <t>JUAN PABLO CARVAJAL CASTRO</t>
  </si>
  <si>
    <t>MELADY SOFIA GUERRERO CASTAÑEDA</t>
  </si>
  <si>
    <t>LUIS ANTHONY TRANCHITA PINZON</t>
  </si>
  <si>
    <t>LUISA FERNANDA SANDOVAL MARTINEZ</t>
  </si>
  <si>
    <t>WILLIAN JAVIER INDABURO CENDALES</t>
  </si>
  <si>
    <t>DIEGO ARMANDO DOMINGUEZ CASAS</t>
  </si>
  <si>
    <t>JOSE CARLOS JIMENEZ BUSTILLO</t>
  </si>
  <si>
    <t>VIVIANA  VALENCIA CARDONA</t>
  </si>
  <si>
    <t>JOHAN ANDREY SUTA ESPINEL</t>
  </si>
  <si>
    <t>JOHAN STEVEN CUADRADO LADINO</t>
  </si>
  <si>
    <t>LUIS ERNESTO SIERRA QUINTERO</t>
  </si>
  <si>
    <t>MAGDA LUZ HERNANDEZ RUEDA</t>
  </si>
  <si>
    <t>ANDRES FELIPE MUÑOZ</t>
  </si>
  <si>
    <t>JUAN DAVID CARREÑO PASCUAS</t>
  </si>
  <si>
    <t>JULIANA  BALLESTEROS CASILIMAS</t>
  </si>
  <si>
    <t>JONATHAN  CARDENAS GARZON</t>
  </si>
  <si>
    <t>JAVIER ALBERTO MENDEZ PINZON</t>
  </si>
  <si>
    <t>LUCIA INES CASTELLANOS NAVARRO</t>
  </si>
  <si>
    <t>CENAYDA PAOLA RICO PARADA</t>
  </si>
  <si>
    <t>LUZ STELLA PARRADO</t>
  </si>
  <si>
    <t>MAURICIO GUILLERMO AHUMADA CORTES</t>
  </si>
  <si>
    <t>STEVEN ANDRES VACA VERGARA</t>
  </si>
  <si>
    <t>DIANA MARCELA RINCON ORTIZ</t>
  </si>
  <si>
    <t>ORGANIZACION DE ESTADOS IBEROAMERICANOS O.E.I.</t>
  </si>
  <si>
    <t>992</t>
  </si>
  <si>
    <t>1002</t>
  </si>
  <si>
    <t>1030</t>
  </si>
  <si>
    <t>1029</t>
  </si>
  <si>
    <t>1052</t>
  </si>
  <si>
    <t>1163</t>
  </si>
  <si>
    <t>1059</t>
  </si>
  <si>
    <t>1197</t>
  </si>
  <si>
    <t>1210</t>
  </si>
  <si>
    <t>1241</t>
  </si>
  <si>
    <t>1225</t>
  </si>
  <si>
    <t>1272</t>
  </si>
  <si>
    <t>1309</t>
  </si>
  <si>
    <t>Prestar los servicios profesionales a la Secretaria Distrital de Gobierno como enlace y cubrimiento periodístico de la gestión adelantada por las 20 localidades.</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</si>
  <si>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</si>
  <si>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servicios de apoyo a la gestión en los puntos de atención a la ciudadanía de la Secretaria Distrital de Gobierno para la implementación de la Política Pública Distrital de Atención a la Ciudadanía.</t>
  </si>
  <si>
    <t>Prestar servicios de apoyo a la gestión en los puntos de atención a la ciudadanía de la Secretaria Distrital de Gobierno para la implementación de la Política Pública Distrital de Atención a la Ciudadanía</t>
  </si>
  <si>
    <t>Prestar los servicios de apoyo de logística y protocolo en la Secretaría Distrital de Gobierno.</t>
  </si>
  <si>
    <t>Prestar servicios profesionales para apoyar a la Secretaría de Gobierno en la divulgación, administración de contenidos de las redes sociales para promover los programas y proyectos de la entidad.</t>
  </si>
  <si>
    <t>Prestar servicios profesionales para apoyar en el trámite de los asuntos de naturaleza electoral que se deriven del ejercicio de los mecanismos de participación democrática y de los derechos político.</t>
  </si>
  <si>
    <t>Prestar los servicios profesionales en la Secretaría Distrital de Gobierno en el acompañamiento y liderazgo técnico en todas las fases de las políticas públicas lideradas y/o ejecutadas por la dependencia, garantizando la implementación de los lineamientos establecidos.</t>
  </si>
  <si>
    <t>CLOUD CITY COLOMBIA SAS</t>
  </si>
  <si>
    <t>ANGELA MARCELA REYES ZAMBRANO</t>
  </si>
  <si>
    <t>CARMEN YAMILE SABA LOPEZ</t>
  </si>
  <si>
    <t>905</t>
  </si>
  <si>
    <t>1032</t>
  </si>
  <si>
    <t>1107</t>
  </si>
  <si>
    <t>1111</t>
  </si>
  <si>
    <t>1121</t>
  </si>
  <si>
    <t>1136</t>
  </si>
  <si>
    <t>1085</t>
  </si>
  <si>
    <t>1161</t>
  </si>
  <si>
    <t>1178</t>
  </si>
  <si>
    <t>1164</t>
  </si>
  <si>
    <t>1173</t>
  </si>
  <si>
    <t>1174</t>
  </si>
  <si>
    <t>1172</t>
  </si>
  <si>
    <t>1176</t>
  </si>
  <si>
    <t>1108</t>
  </si>
  <si>
    <t>1180</t>
  </si>
  <si>
    <t>1184</t>
  </si>
  <si>
    <t>1076</t>
  </si>
  <si>
    <t>1187</t>
  </si>
  <si>
    <t>1075</t>
  </si>
  <si>
    <t>1077</t>
  </si>
  <si>
    <t>1196</t>
  </si>
  <si>
    <t>1203</t>
  </si>
  <si>
    <t>1199</t>
  </si>
  <si>
    <t>1206</t>
  </si>
  <si>
    <t>1082</t>
  </si>
  <si>
    <t>1207</t>
  </si>
  <si>
    <t>1216</t>
  </si>
  <si>
    <t>1182</t>
  </si>
  <si>
    <t>1249</t>
  </si>
  <si>
    <t>1258</t>
  </si>
  <si>
    <t>1260</t>
  </si>
  <si>
    <t>1262</t>
  </si>
  <si>
    <t>1081</t>
  </si>
  <si>
    <t>1310</t>
  </si>
  <si>
    <t>1259</t>
  </si>
  <si>
    <t>1311</t>
  </si>
  <si>
    <t>1312</t>
  </si>
  <si>
    <t>1239</t>
  </si>
  <si>
    <t>Prestar apoyo a los líderes de auditorías a la gestión en las actividades de oficina y archivo en la Oficina de Control Interno de la secretaria Distrital de Gobierno</t>
  </si>
  <si>
    <t>Solicitud CDP de ARL Dirección Administrativa mediante memorado 20214200075603  PAGO DE ARL DE LOS CONTRATISTAS CON RIEGO V, DEL MES DE JUNIO DE 2021, SEGÚN PLANILLA 516566975.</t>
  </si>
  <si>
    <t>Prestar apoyo a los líderes de auditorías a la gestión en las actividades de oficina y archivo en la Oficina de Control Interno de la secretaria Distrital de Gobierno.</t>
  </si>
  <si>
    <t>Prestar apoyo a los líderes de auditorías a la gestión en las actividades de oficina y archivo en la Oficina de Control Interno de la Secretaria Distrital de Gobierno</t>
  </si>
  <si>
    <t>Prestar los servicios profesionales a la Dirección de Gestión del Talento Humano como apoyo a los procesos transversales y estrategias institucionales a cargo de la Dirección.</t>
  </si>
  <si>
    <t>Prestar los servicios profesionales a la Subsecretaría de Gestión Institucional para la implementación de la Política Pública Distrital de Atención a la Ciudadanía.</t>
  </si>
  <si>
    <t>Prestar los servicios profesionales a la Dirección de Gestión del Talento Humano con el fin de brindar apoyo jurídico en los procesos a cargo de la Dirección</t>
  </si>
  <si>
    <t>Prestar servicios de apoyo como Social Media y Community Manager de la Secretaría de Gobierno para promover los programas y proyectos de la entidad que benefician a la ciudadanía.</t>
  </si>
  <si>
    <t>PRESTAR SERVICIOS PROFESIONALES ESPECIALIZADOS A LA DIRECCIÓN DE GESTIÓN DEL TALENTO HUMANO ASESORANDO PROCESOS Y ESTRATEGIAS A SU CARGO.</t>
  </si>
  <si>
    <t>Prestar los servicios profesionales a la Dirección de Gestión del Talento Humano con el fin de brindar apoyo en los procesos a cargo de la Dirección</t>
  </si>
  <si>
    <t>PRESTAR LOS SERVICIOS PROFESIONALES A LA SUBSECRETARÍA  DE GESTIÓN INSTITUCIONAL PARA LA IMPLEMENTACIÓN DE DE LA POLÍTICA PÚBLICA DISTRITAL DE ATENCIÓN A LA CIUDADANÍA.</t>
  </si>
  <si>
    <t>Prestar servicios de apoyo para el levantamiento técnico de inventarios documentales en los archivos de la Secretaría Distrital de Gobierno.</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</si>
  <si>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</si>
  <si>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especializados para llevar a cabo la revisión jurídica de los asuntos que se tramitan en la Dirección de Contratación de la Secretaría de Gobierno.</t>
  </si>
  <si>
    <t>Prestar los servicios profesionales para apoyar jurídicamente en las acciones de descongestión de derechos de petición radicados ante la Secretaría Distrital de Gobierno con el fin de apoyar el cumplimiento de la política pública distrital de atención a la ciudadanía.</t>
  </si>
  <si>
    <t>Prestar servicios de apoyo a la gestión a la Subsecretaría de Gestión Institucional en los puntos de atención a la ciudadanía de la SecretariaDistrital de#Gobierno para la implementación de la Política Pública Distrital de Atención a la Ciudadanía</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</si>
  <si>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</si>
  <si>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servicios de apoyo a la gestión para la administración del l inventario en estado natural de los archivos de la Secretaría Distritade Gobierno</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</si>
  <si>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</si>
  <si>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servicios de apoyo para la gestión y seguimiento a los  servicios tecnológicos que brinda la Dirección de Tecnologías e Información</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</si>
  <si>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</si>
  <si>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</si>
  <si>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oficina Asesora de Planeación en el acompañamiento técnico y metodológico para la formulación y seguimiento a los proyectos de inversión</t>
  </si>
  <si>
    <t>Prestar servicios profesionales para brindar apoyo a la Dirección de Contratación de la Secretaría Distrital de Gobierno, en la gestión precontractual&lt;(&gt;,&lt;)&gt; contractual y post contractual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</si>
  <si>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</si>
  <si>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</si>
  <si>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</si>
  <si>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los servicios profesionales en relación con temas de representación judicial, extrajudicial y especialmente en la sustanciación, acompañamiento y revisión de los procesos disciplinarios que se remitan a la Dirección Jurídica.</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</si>
  <si>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</si>
  <si>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los servicios de apoyo a la gestión y seguimiento de los aplicativos tecnológicos de la dirección jurídica de la Secretaría Distrital de Gobierno, en los diferentes trámites administrativos y de gestión que se requieran.</t>
  </si>
  <si>
    <t>Prestar los servicios de apoyo como auxiliar en la dirección jurídica de la Secretaría Distrital de Gobierno, en todas las gestiones administrativas que se requieran.</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</si>
  <si>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</si>
  <si>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profesionales a la Dirección de Gestión del Talento Humano con el fin de atender procesos relacionados seleccionados con el manejo del talento humano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</si>
  <si>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</si>
  <si>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REALIZAR LA ADICIÓN Y PRORROGA DEL CONTRATO DEL CONTRATO 247 DE 2021 SUSCRITO ENTRE LA SECRETARIA DISTRITAL DE GOBIERNO Y ANDRES CAMILO MOYANO DUARTE</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</si>
  <si>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Dirección Jurídica</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</si>
  <si>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</si>
  <si>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sus servicios profesionales para apoyar a la oficina de asuntos disciplinarios de la Secretaria Distrital de Gobierno, en la revisión, orientación&lt;(&gt;,&lt;)&gt; diagnostico, fortalecimiento procesal, sustantivo y jurisprudencial en los procesos de primera instancia que se adelantan en la dependencia.</t>
  </si>
  <si>
    <t>PRESTAR SUS SERVICIOS PROFESIONALES ESPECIALIZADOS PARA APOYAR A  LA OFICINA DE ASUNTOS DISCIPLINARIOS DE LA SECRETARIA DISTRITAL DE GOBIERNO, EN LA REVISIÓN, ORIENTACIÓN , DIAGNOSTICO, FORTALECIMIENTO PROCESAL, SUSTANTIVO Y JURISPRUDENCIAL EN LOS PROCESOS DE PRIMERA INSTANCIA A QUE SE ADELANTAN EN LA DEPENDENCIA.</t>
  </si>
  <si>
    <t>PRESTAR SERVICIOS PROFESIONALES PARA APOYAR EL PROCESO DE SELECCIÓN Y VINCULACIÓN DEL PERSONAL EN LA SDG, SEGÚN LOS REQUERIMIENTOS PROFESIONALES, TECNICOS Y COMPORTAMENTALES DE LAS DISTINTAS AREAS DE LA ENTIDAD</t>
  </si>
  <si>
    <t>PRESTAR SERVICIOS PROFESIONALES PARA APOYAR A LA DIRECCIÓN DE GESTIÓN DE TALENTO HUMANO EN LOS PROCESOS DE VINCULACIÓN, CAPACITACIÓN Y BIENESTAR PARA LOS FUNCIONARIOS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</si>
  <si>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</si>
  <si>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</si>
  <si>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al despacho de la secretaría Distrital de Gobierno para la gestión de las relaciones públicas, a través del manejo de información asociada a peticiones ciudadanas, y del seguimiento y participación de casos particulares.</t>
  </si>
  <si>
    <t>PRESTAR SERVICIOS PROFESIONALES PARA APOYAR LA FORMULACIÓN Y EJECUCIÓN DE LAS ACTIVIDADES DE FORTALECIMIENTO DEL CLIMA Y LA CULTURA ORGANIZACIONAL, ASÍ COMO APOYAR EL DESARROLLO DE LAS ACCIONES CONTEMPLADAS EN EL PLAN DE BIENESTAR DIRIGIDO A SERVIDORES PÚBLICOS Y CONTRATISTAS DE LA SECRETARÍA DISTRITAL DE GOBIERNO.</t>
  </si>
  <si>
    <t>TATIANA ALEJANDRA CARRERO BERNAL</t>
  </si>
  <si>
    <t>DIEGO SEBASTIAN JURADO NUMPAQUE</t>
  </si>
  <si>
    <t>DIANA VALENTINA AREVALO BONILLA</t>
  </si>
  <si>
    <t>LUIS CARLOS RODRIGUEZ</t>
  </si>
  <si>
    <t>LUZ ANGELA VALENCIA LAVAO</t>
  </si>
  <si>
    <t>MIGUEL ANGEL VARGAS MEDINA</t>
  </si>
  <si>
    <t>SANTIAGO  DIAZ DIAZ</t>
  </si>
  <si>
    <t>JORGE REINALDO RUIZ MARIÑO</t>
  </si>
  <si>
    <t>GUILLERMO ARTURO PINILLA FARIAS</t>
  </si>
  <si>
    <t>MAURICIO  BUITRAGO AGUDELO</t>
  </si>
  <si>
    <t>LUISA FERNANDA CUELLAR RODRIGUEZ</t>
  </si>
  <si>
    <t>883</t>
  </si>
  <si>
    <t>954</t>
  </si>
  <si>
    <t>955</t>
  </si>
  <si>
    <t>247</t>
  </si>
  <si>
    <t>1238</t>
  </si>
  <si>
    <t>1254</t>
  </si>
  <si>
    <t>Prestar servicios de apoyo a la gestión en la Subsecretaría de Gestión Local para el acompañamiento contractual para la implementación del modelo de gestión transparente, incluyente, participativo y colaborativo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</si>
  <si>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</si>
  <si>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para apoyar la implementación del plan de comunicación de la Secretaria Distrital de Gobierno es pecialmente las acciones encaminadas a la comunicación de la gestión de las alcaldías locales, de acuerdo con las necesidades de la entidad.</t>
  </si>
  <si>
    <t>MELKIN JOSE MEJIA ALDANA</t>
  </si>
  <si>
    <t>1336</t>
  </si>
  <si>
    <t>1394</t>
  </si>
  <si>
    <t>1396</t>
  </si>
  <si>
    <t>1397</t>
  </si>
  <si>
    <t>1426</t>
  </si>
  <si>
    <t>1345</t>
  </si>
  <si>
    <t>1440</t>
  </si>
  <si>
    <t>1444</t>
  </si>
  <si>
    <t>1449</t>
  </si>
  <si>
    <t>1451</t>
  </si>
  <si>
    <t>1452</t>
  </si>
  <si>
    <t>1453</t>
  </si>
  <si>
    <t>1338</t>
  </si>
  <si>
    <t>1457</t>
  </si>
  <si>
    <t>1464</t>
  </si>
  <si>
    <t>1465</t>
  </si>
  <si>
    <t>1342</t>
  </si>
  <si>
    <t>1469</t>
  </si>
  <si>
    <t>1479</t>
  </si>
  <si>
    <t>1357</t>
  </si>
  <si>
    <t>1487</t>
  </si>
  <si>
    <t>1370</t>
  </si>
  <si>
    <t>1491</t>
  </si>
  <si>
    <t>1492</t>
  </si>
  <si>
    <t>1493</t>
  </si>
  <si>
    <t>1373</t>
  </si>
  <si>
    <t>1502</t>
  </si>
  <si>
    <t>1361</t>
  </si>
  <si>
    <t>1503</t>
  </si>
  <si>
    <t>1505</t>
  </si>
  <si>
    <t>1506</t>
  </si>
  <si>
    <t>1358</t>
  </si>
  <si>
    <t>1508</t>
  </si>
  <si>
    <t>1353</t>
  </si>
  <si>
    <t>1509</t>
  </si>
  <si>
    <t>1369</t>
  </si>
  <si>
    <t>1515</t>
  </si>
  <si>
    <t>1385</t>
  </si>
  <si>
    <t>1517</t>
  </si>
  <si>
    <t>1384</t>
  </si>
  <si>
    <t>1518</t>
  </si>
  <si>
    <t>1395</t>
  </si>
  <si>
    <t>1520</t>
  </si>
  <si>
    <t>1525</t>
  </si>
  <si>
    <t>1380</t>
  </si>
  <si>
    <t>1526</t>
  </si>
  <si>
    <t>1389</t>
  </si>
  <si>
    <t>1529</t>
  </si>
  <si>
    <t>1390</t>
  </si>
  <si>
    <t>1531</t>
  </si>
  <si>
    <t>1387</t>
  </si>
  <si>
    <t>1533</t>
  </si>
  <si>
    <t>1391</t>
  </si>
  <si>
    <t>1542</t>
  </si>
  <si>
    <t>1386</t>
  </si>
  <si>
    <t>1543</t>
  </si>
  <si>
    <t>1388</t>
  </si>
  <si>
    <t>1544</t>
  </si>
  <si>
    <t>1413</t>
  </si>
  <si>
    <t>1545</t>
  </si>
  <si>
    <t>1550</t>
  </si>
  <si>
    <t>1398</t>
  </si>
  <si>
    <t>1555</t>
  </si>
  <si>
    <t>1432</t>
  </si>
  <si>
    <t>1558</t>
  </si>
  <si>
    <t>1563</t>
  </si>
  <si>
    <t>1411</t>
  </si>
  <si>
    <t>1568</t>
  </si>
  <si>
    <t>1458</t>
  </si>
  <si>
    <t>1576</t>
  </si>
  <si>
    <t>1431</t>
  </si>
  <si>
    <t>1578</t>
  </si>
  <si>
    <t>1434</t>
  </si>
  <si>
    <t>1587</t>
  </si>
  <si>
    <t>1461</t>
  </si>
  <si>
    <t>1590</t>
  </si>
  <si>
    <t>1436</t>
  </si>
  <si>
    <t>1591</t>
  </si>
  <si>
    <t>1468</t>
  </si>
  <si>
    <t>1597</t>
  </si>
  <si>
    <t>1599</t>
  </si>
  <si>
    <t>1600</t>
  </si>
  <si>
    <t>1604</t>
  </si>
  <si>
    <t>1605</t>
  </si>
  <si>
    <t>1424</t>
  </si>
  <si>
    <t>1606</t>
  </si>
  <si>
    <t>1609</t>
  </si>
  <si>
    <t>1475</t>
  </si>
  <si>
    <t>1611</t>
  </si>
  <si>
    <t>EDWIN FERNEY GIL CARDENAS</t>
  </si>
  <si>
    <t>MARIA ANGELICA GRANADOS QUIÑONES</t>
  </si>
  <si>
    <t>MARIA DEL MAR ACEVEDO ESTRADA</t>
  </si>
  <si>
    <t>COPY MEDIOS LTDA</t>
  </si>
  <si>
    <t>JAIRO ENRIQUE ROMA¿¿A CUESTA</t>
  </si>
  <si>
    <t>ELIANA MARCELA ROBLES PALLARES</t>
  </si>
  <si>
    <t>NEISER ELIAS CASSIANI HERNANDEZ</t>
  </si>
  <si>
    <t>FONNEGRA GERLEIN S.A.S</t>
  </si>
  <si>
    <t>SANDRA MILENA COBOS ANGULO</t>
  </si>
  <si>
    <t>52397769</t>
  </si>
  <si>
    <t>6439680948</t>
  </si>
  <si>
    <t>643968094</t>
  </si>
  <si>
    <t>6444956036</t>
  </si>
  <si>
    <t>644495603</t>
  </si>
  <si>
    <t>6456204322</t>
  </si>
  <si>
    <t>645620432</t>
  </si>
  <si>
    <t>11049</t>
  </si>
  <si>
    <t>0562</t>
  </si>
  <si>
    <t>41769377916</t>
  </si>
  <si>
    <t>40432927016</t>
  </si>
  <si>
    <t>6476573874</t>
  </si>
  <si>
    <t>647657386</t>
  </si>
  <si>
    <t>40425392517</t>
  </si>
  <si>
    <t>PRESTAR SERVICIOS PROFESIONALES ESPECIALIZADOS EN LA DIRECCIÓN DE DERECHOS HUMANOS PARA APOYAR LA GESTIÓN TÉCNICA Y ADMINISTRATIVAS REQUERIDOS POR LA DIRECCIÓN.</t>
  </si>
  <si>
    <t>PRESTAR SERVICIOS PROFESIONALES EN LA SUBDIRECCIÓN DE ASUNTOS ÉTNICOS PARA ATENDER A LA CIUDADANÍA QUE ACUDA A LOS ESPACIOS DE ATENCIÓN DIFERENCIADA Y REALIZAR EL ACOMPAÑAMIENTO A PROCESOS COMUNITARIOS Y ORGANIZACIONALES.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</si>
  <si>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</si>
  <si>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</si>
  <si>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PRESTAR SERVICIOS PROFESIONALES EN LA DIRECCIÓN DE DERECHOS HUMANOS APOYANDO LA COORDINACIÓN DE ACTIVIDADES MISIONALES Y ESTRATÉGICAS A CARGO DE LA DIRECCIÓN Y SUS DEPENDENCIAS</t>
  </si>
  <si>
    <t>PRESTAR LOS SERVICIOS PROFESIONALES A LA DIRECCIÓN DE DERECHOS HUMANOS DE LA SECRETARIA DISTRITAL DE GOBIERNO EN LOS ASUNTOS JURÍDICOS Y LEGALES QUE REQUIERAN LOS PROCESOS MISIONALES Y ADMINISTRATIVOS QUE SE ADELANTAN EN LA DIRECCIÓN</t>
  </si>
  <si>
    <t>RECLASIFICION DE ARL A RIESGO V A LOS CONTRATISTAS DE ACUERDO AL MEMORANDO 20212000180713  Pago de la planilla 52397769, para el pago de la ARL del mes de julio de 2021.</t>
  </si>
  <si>
    <t>Prestar los servicios de apoyo a la gestión a la Subdirección de Asuntos Étnicos en la atención a las comunidades y pueblos étnicos del Distrito acompañando sus procesos organizacionales y comunitarios a través de los Espacios de Atención Diferenciada.</t>
  </si>
  <si>
    <t>PRESTAR SERVICIOS PROFESIONALES EN LA DIRECCIÓN DE DERECHOS HUMANOS PARA APOYAR LA GESTIÓN PRECONTRACTUAL, CONTRACTUAL, LIQUIDACIÓN DE LOS PROCESOS DE CONTRATACIÓN  REQUERIDOS POR LA DIRECCIÓN.</t>
  </si>
  <si>
    <t>PRESTAR SERVICIOS PROFESIONALES EN LA DIRECCION DE DERECHOS HUMANOS PARA GARANTIZAR LA IMPLEMENTACION DE LA ESTRATEGIA DE PREVENCION DE VULNERACIONES  A LOS DERECHOS A LA VIDA, LIBERTAD, INTEGRIDAD Y SEGURIDAD DE PERSONAS LGBTI, VICTIMAS DEL DELITO DE TRATA DE PERSONAS, LIDERES , LIDERESAS, DEFENSORES Y DEFENSORAS DE DERECHOS HUMANOS QUE DEMANDEN MEDIDAS DE PREVENCION O PROTECCION.</t>
  </si>
  <si>
    <t>Pago de servicios públicos de los inmuebles en donde se encuentran los espacios de atención diferenciada CONFIA y Casa Indígena  Pago del servicio de energía de la Casa del Pensamiento Indígena, ubicada en la Calle 9 No. 9-60, periodo facturado del 22 de junio al 22 de julio de 2021, según facturas No. 643968094-8 $26.480, 643968086-7 $14.700 y 643968091-6 $98910.</t>
  </si>
  <si>
    <t>Pago de servicios públicos de los inmuebles en donde se encuentran los espacios de atención diferenciada CONFIA y Casa Indígena  Pago del servicio de aseo de la Casa del Pensamiento Indígena, ubicada en la Calle 9 No. 9-60, periodo facturado del 28 de mayo al 27 de junio de 2021, según facturas No. 643968082 $51.550; 643968080 $51.550, 643968084 $51.550 y 643968085 $51.550, 643968086 $51.680; 643968087 $51.550; 643968088 $51.550, 693968088 $51.550, 643968089 $51.550 y 643968091 $51.680.</t>
  </si>
  <si>
    <t>Pago de servicios públicos de los inmuebles en donde se encuentran los espacios de atención diferenciada CONFIA y Casa Indígena  Pago servicio de Energía de la Casa del Pensamiento Indígena.Fra 6439680948.</t>
  </si>
  <si>
    <t>Prestar servicios profesionales especializados en la dirección de derechos humanos apoyando la coordinación de actividades misionales y estratégicas a cargo de la dirección y sus dependencias.</t>
  </si>
  <si>
    <t>Prestar servicios profesionales para fortalecer la capacidad de la institucionalidad y de los actores sociales, a través de acciones pedagógicas conjuntas y sostenibles que prevengan la vulneración, garanticen, promuevan y protejan los derechos humanos.</t>
  </si>
  <si>
    <t>Pago de servicios públicos de los inmuebles en donde se encuentran los espacios de atención diferenciada CONFIA y Casa Indígena  Pago del servicio de energía de Confía Candelaria, ubicado en la calle 9 No. 4-70, periodo facturado 25 de junio al 27 de julio de 2021, según factura No. 644495603-6.</t>
  </si>
  <si>
    <t>Pago de servicios públicos de los inmuebles en donde se encuentran los espacios de atención diferenciada CONFIA y Casa Indígena  Pago del servicio de Aseo de Confía Candelaria, ubicado en la calle 9 No. 4-70, periodo facturado 02 de junio al 01 de julio de 2021, según factura No. 644495603.</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</si>
  <si>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vida&lt;(&gt;,&lt;)&gt; libertad, integridad y seguridad de personas LGBTI, víctimas del delito de trata de personas, líderes, lideresas, defensores y defensoras de derechos humanos, que demanden medidas de prevención o protección.</t>
  </si>
  <si>
    <t>Pago de servicios públicos de los inmuebles en donde se encuentran los espacios de atención diferenciada CONFIA y Casa Indígena  Pago del servicio de energía del Centro de Orientación y Fortalecimiento Integral Afrobogotano (CONFIA), ubicado en la Cra 3 No. 30 A sur -06, periodo facturado 06 de julio al 4 de agosto de 2021, según factura No. 645620432-2.</t>
  </si>
  <si>
    <t>Pago de servicios públicos de los inmuebles en donde se encuentran los espacios de atención diferenciada CONFIA y Casa Indígena  Pago del servicio de aseo del Centro de Orientación y Fortalecimiento Integral Afrobogotano (CONFIA), ubicado en la Cra 3 No. 30 A sur -06, periodo facturado 13 de junio al 12 de julio de 2021, según factura No. 645620432.</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</si>
  <si>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</si>
  <si>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</si>
  <si>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REALIZAR LA ADICION DEL CONTRATO 978 DE 2020 SUSCRITO ENTRE LA SECRETARIA DISTRITAL DE GOBIERNO Y COPYMEDIOS SAS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</si>
  <si>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</si>
  <si>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SERVICIOS PROFESIONALES EN LA DIRECCIÓN DE DERECHOS HUMANOS PARA GARANTIZAR LA ATENCIÓN DE TRABAJO SOCIAL EN LA IMPLEMENTACIÓN DE LA ESTRATEGIA DE PREVENCIÓN DE VULNERACIONES A LOS DERECHOS A LA VIDA, LIBERTAD, INTEGRIDAD Y SEGURIDAD DE PERSONAS LGBTI, VÍCTIMAS DEL DELITO DE TRATA DE PERSONAS, LÍDERES, LIDERESAS, DEFENSORES Y DEFENSORAS DE DERECHOS HUMANOS, QUE DEMANDEN MEDIDAS DE PREVENCIÓN Y PROTECCIÓN</t>
  </si>
  <si>
    <t>PRESTAR SERVICIOS PROFESIONALES EN LA DIRECCIÓN DE DERECHOS HUMANOS PARA LA ATENCIÓN DE CASOS RELACIONADOS CON PRESUNTO ABUSO DE AUTORIDAD Y/O DE FUERZA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</si>
  <si>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</si>
  <si>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como enlace técnico para garantizar la atención requerida en la implementación de la ruta de prevención y protección víctimas del delito de trata de personas, en el marco del programa de prevención de vulneraciones a los derechos a la vida, libertad, integridad y seguridad de personas LGBTI, víctimas del delito de trata de personas, lideres, lideresas, defensores y defensoras de derechos humanos, que demanden medidas de prevención o protección.</t>
  </si>
  <si>
    <t>PRESTAR SERVICIOS PROFESIONALES PARA REALIZAR LA GESTIÓN TÉCNICA PARA LA FORMULACIÓN E IMPLEMENTACIÓN DE LAS POLÍTICAS PÚBLICAS ÉTNICAS</t>
  </si>
  <si>
    <t>PRESTAR SERVICIOS PROFESIONALES EN LA SUBDIRECCIÓN DE ASUNTOS ÉTNICOS EN TEMAS RELACIONADOS CON LA POBLACION NEGRA, AFROCOLOMBIANA, RAIZAL Y PALENQUERA EN EL SEGUIMIENTO A LA IMPLEMENTACIÓN DE LOS PLANES DE ACCIONES AFIRMATIVAS PARA GRUPOS ÉTNICOS Y GESTIÓN INTERINSTITUCIONAL DE LOS MISMOS EN CONCERTACIÓN CON LAS POBLACIONES ÉTNICAS.</t>
  </si>
  <si>
    <t>PRESTAR SERVICIOS PROFESIONALES EN LA SUBDIRECCIÓN DE ASUNTOS ÉTNICOS EN TEMAS RELACIONADOS CON LA POBLACION NEGRA, AFROCOLOMBIANA, RAIZAL Y PALENQUERA EN EL SEGUIMIENTO A LA IMPLEMENTACIÓN DE LOS PLANES DE ACCIONES AFIRMATIVAS PARA GRUPOS ÉTNICOS Y GESTIÓN INTERINSTITUCIONAL EN CONCERTACIÓN CON LAS POBLACIONES ÉTNICAS.</t>
  </si>
  <si>
    <t>PRESTAR SERVICIOS PROFESIONALES EN LA SUBDIRECCIÓN DE ASUNTOS ÉTNICOS EN TEMAS RELACIONADOS CON LOS PUEBLOS INDIGENAS EN EL SEGUIMIENTO  A LA IMPLEMENTACIÓN DE LOS PLANES DE ACCIONES AFIRMATIVAS PARA GRUPOS ETNICOS Y GESTIÓN INTERINSTITUCIONAL DE LOS MISMOS EN CONCERTACION CON LAS POBLACIONES ETNICAS</t>
  </si>
  <si>
    <t>Pago de servicios públicos de los inmuebles en donde se encuentran los espacios de atención diferenciada CONFIA y Casa Indígena  Pago de la administración del Centro de Orientación y Fortalecimiento Integral Afrobogotano - CONFIA SUBA, ubicado en la diagonal 115 A No. 70 D 95, Local 10, periodo facturado del 1 de mayo al 31 de julio de 2021, según cuenta de cobreo No. 11049.</t>
  </si>
  <si>
    <t>PRESTAR SERVICIOS PROFESIONALES DE APOYO A LA COORDINACIÓN PARA REALIZAR LA GESTIÓN TÉCNICA EN LA FORMULACIÓN E IMPLEMENTACIÓN DE LAS POLÍTICAS PÚBLICAS ÉTNICAS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</si>
  <si>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</si>
  <si>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Prestar servicios profesionales de apoyo a la coordinación en la gestión, planificación, implementación y desarrollo técnico de los Espacios de Atención Diferenciada, acompañando los procesos y la atención de las comunidades y pueblos étnicos de Bogotá que promueva el goce de sus derechos.</t>
  </si>
  <si>
    <t>PRESTAR SERVICIOS PROFESIONALES EN LA SUBDIRECCIÓN DE ASUNTOS ÉTNICOS PARA LA GESTIÓN TÉCNICA REQUERIDA PARA LA FRMULACION DEL PLAN DE VIDA DEL CABILDO INDIGENA  MHUYSQA DE BOSA CONCERTADO EN EL PROCESO DE CONSULTA PREVIA DEL PLAN PARCIAL EL EDEN EL DESCANSO</t>
  </si>
  <si>
    <t>PAGO DE PASIVO EXIGIBLE DEL CONTRATO 342 DE 2019 SUSCRITO ENTRE SECRETARIA DISTRITAL DE GOBIERNO Y ELIANA MARCELA ROBLES PALLARES</t>
  </si>
  <si>
    <t>Prestar servicios profesionales para la operación de la Secretaria Técnica Distrital de Discapacidad, brindando la asistencia técnica y operativa requerida por el equipo técnico para la reformulación de la Política Pública de Discapacidad.</t>
  </si>
  <si>
    <t>PRESTAR SERVICIOS DE APOYO A LA GESTION EN LA DIRECCIÓN DE DERECHOS HUMANOS PARA IMPLEMENTAR LAS ACCIONES DE TERRITORIALIZACIÓN DEL SISTEMA DISTRITAL DE DERECHOS HUMANOS Y LAS ACCIONES ESTRATÉGICAS DE LA DIRECCIÓN A PARTIR DE UN ENFOQUE TERRITORIAL Y POBLACIONAL</t>
  </si>
  <si>
    <t>Prestar servicios profesionales a la Secretaría de Gobierno para el desarrollo de las funciones de la Secretaría Técnica Distrital de Discapacidad y brindar asesoría técnica para el adecuado funcionamiento del Sistema Distrital de Discapacidad.</t>
  </si>
  <si>
    <t>Pago de servicios públicos de los inmuebles en donde se encuentran los espacios de atención diferenciada CONFIA y Casa Indígena  Pago del servicio de Acueducto y Alcantarillado de la Casa Indígena, ubicado en la Cl 9 No. 9-60, período facturado del 27 de mayo al 26 de julio de 2021, según factura 41769377916.</t>
  </si>
  <si>
    <t>Pago de servicios públicos de los inmuebles en donde se encuentran los espacios de atención diferenciada CONFIA y Casa Indígena  Pago del servicio de acueducto y alcantarillado del Centro de Orientación y Fortalecimiento Integral Afrobogotano CONFIA Candelaría, ubicado en la Calle 9 No. 4-70, periodo facturado del 29 de mayo al 28 de julio de 2021, según factura No. 40432927016.</t>
  </si>
  <si>
    <t>Pago de servicios públicos de los inmuebles en donde se encuentran los espacios de atención diferenciada CONFIA y Casa Indígena  Pago del servicio de energía de la Casa del Pensamiento Indígena, ubicada en la Calle 9 No. 9-60, período facturado del 22 de julio al 23 agosto de 2021; según facturas No. 647657392, 647657395 y 647657387.</t>
  </si>
  <si>
    <t>Pago de servicios públicos de los inmuebles en donde se encuentran los espacios de atención diferenciada CONFIA y Casa Indígena  Pago del servicio de aseo de la Casa del Pensamiento Indígena, ubicada en la Calle 9 No. 9-60, período facturado del 26 de junio al 27 julio de 2021; según facturas No. 647657389, 647657390&lt;(&gt;,&lt;)&gt;647657392, 647657395, 647657383, 647657384, 647657386&lt;(&gt;,&lt;)&gt; 647657387, 647657388 y 647657385.</t>
  </si>
  <si>
    <t>Entregar a título de arrendamiento a la Secretaría Distrital de Gobierno, el uso y goce del inmueble ubicado en la Carrera 3 No. 10 -72 de la localidad de la Candelaria - Bogotá D.C., identificado con el folio de matrícula inmobiliaria No.050C00452831</t>
  </si>
  <si>
    <t>Pago de servicios públicos de los inmuebles en donde se encuentran los espacios de atención diferenciada CONFIA y Casa Indígena  Pago del servicio de acueducto y alcantarillado del Centro de Orientación y Fortalecimiento Integral Afrobogotano CONFIA San Cristobal, ubicado en la Cra 3 No. 30 A sur -08, periodo facturado 28 de abril al 25 de junio de 2021, según factura No. 40425392517.</t>
  </si>
  <si>
    <t>Prestar servicios profesionales a la Subdirección de Asuntos Étnicos para el seguimiento de los compromisos en el proceso de cumplimiento a los Acuerdos de Consulta Previa por el Plan Parcial El Edén el Descanso.</t>
  </si>
  <si>
    <t>1400</t>
  </si>
  <si>
    <t>1341</t>
  </si>
  <si>
    <t>1428</t>
  </si>
  <si>
    <t>1337</t>
  </si>
  <si>
    <t>1429</t>
  </si>
  <si>
    <t>1340</t>
  </si>
  <si>
    <t>1430</t>
  </si>
  <si>
    <t>1433</t>
  </si>
  <si>
    <t>1344</t>
  </si>
  <si>
    <t>1439</t>
  </si>
  <si>
    <t>1346</t>
  </si>
  <si>
    <t>1441</t>
  </si>
  <si>
    <t>1445</t>
  </si>
  <si>
    <t>1446</t>
  </si>
  <si>
    <t>1447</t>
  </si>
  <si>
    <t>1363</t>
  </si>
  <si>
    <t>1450</t>
  </si>
  <si>
    <t>1359</t>
  </si>
  <si>
    <t>1456</t>
  </si>
  <si>
    <t>1360</t>
  </si>
  <si>
    <t>1460</t>
  </si>
  <si>
    <t>1470</t>
  </si>
  <si>
    <t>1471</t>
  </si>
  <si>
    <t>1474</t>
  </si>
  <si>
    <t>1332</t>
  </si>
  <si>
    <t>1476</t>
  </si>
  <si>
    <t>1366</t>
  </si>
  <si>
    <t>1488</t>
  </si>
  <si>
    <t>1375</t>
  </si>
  <si>
    <t>1489</t>
  </si>
  <si>
    <t>1374</t>
  </si>
  <si>
    <t>1496</t>
  </si>
  <si>
    <t>1376</t>
  </si>
  <si>
    <t>1497</t>
  </si>
  <si>
    <t>1377</t>
  </si>
  <si>
    <t>1498</t>
  </si>
  <si>
    <t>1378</t>
  </si>
  <si>
    <t>1504</t>
  </si>
  <si>
    <t>1403</t>
  </si>
  <si>
    <t>1519</t>
  </si>
  <si>
    <t>1393</t>
  </si>
  <si>
    <t>1521</t>
  </si>
  <si>
    <t>1402</t>
  </si>
  <si>
    <t>1522</t>
  </si>
  <si>
    <t>1404</t>
  </si>
  <si>
    <t>1523</t>
  </si>
  <si>
    <t>1401</t>
  </si>
  <si>
    <t>1524</t>
  </si>
  <si>
    <t>1406</t>
  </si>
  <si>
    <t>1530</t>
  </si>
  <si>
    <t>1405</t>
  </si>
  <si>
    <t>1532</t>
  </si>
  <si>
    <t>1381</t>
  </si>
  <si>
    <t>1535</t>
  </si>
  <si>
    <t>1536</t>
  </si>
  <si>
    <t>1410</t>
  </si>
  <si>
    <t>1541</t>
  </si>
  <si>
    <t>1417</t>
  </si>
  <si>
    <t>1547</t>
  </si>
  <si>
    <t>1559</t>
  </si>
  <si>
    <t>1416</t>
  </si>
  <si>
    <t>1566</t>
  </si>
  <si>
    <t>1435</t>
  </si>
  <si>
    <t>1567</t>
  </si>
  <si>
    <t>1580</t>
  </si>
  <si>
    <t>1589</t>
  </si>
  <si>
    <t>1467</t>
  </si>
  <si>
    <t>1601</t>
  </si>
  <si>
    <t>GARETH STEVEN SELLA FORERO</t>
  </si>
  <si>
    <t>JULIO CESAR SANCHEZ TAPIERO</t>
  </si>
  <si>
    <t>SANDRA MILENA RODRIGUEZ BOGOTA</t>
  </si>
  <si>
    <t>MARVY  SOLORZANO PERDOMO</t>
  </si>
  <si>
    <t>JUAN CARLOS KURE SANDOVAL</t>
  </si>
  <si>
    <t>UNION TEMPORAL SALAS DE AUDIENCIA CONISA 2021</t>
  </si>
  <si>
    <t>ANDRES MAURICIO RODRIGUEZ GONZALEZ</t>
  </si>
  <si>
    <t>JESUS DAVID MORALES AMARIS</t>
  </si>
  <si>
    <t>GUILLERMO  OTALORA LOZANO</t>
  </si>
  <si>
    <t>SANDRA LILIANA BARON BECERRA</t>
  </si>
  <si>
    <t>GLORIA STELLA GUTIERREZ GARZON</t>
  </si>
  <si>
    <t>LUISA FERNANDA ROA ROLDAN</t>
  </si>
  <si>
    <t>SULY MONICA ANGEL RUIZ</t>
  </si>
  <si>
    <t>MAIRA ALEJANDRA ARIZA CADENA</t>
  </si>
  <si>
    <t>JOSE ARMANDO CORRALES NUÑEZ</t>
  </si>
  <si>
    <t>SANDRA MILENA TORRES CARVAJAL</t>
  </si>
  <si>
    <t>EDGAR ALFONSO CAMACHO SOLER</t>
  </si>
  <si>
    <t>ANDRES ARMANDO DUARTE PRIETO</t>
  </si>
  <si>
    <t>EDWARD ESAU SIERRA QUITIAN</t>
  </si>
  <si>
    <t>PANAMERICANA LIBRERIA Y PAPELERIA S A</t>
  </si>
  <si>
    <t>UNIVERSIDAD NACIONAL DE COLOMBIA</t>
  </si>
  <si>
    <t>57</t>
  </si>
  <si>
    <t>1058</t>
  </si>
  <si>
    <t>1106</t>
  </si>
  <si>
    <t>61</t>
  </si>
  <si>
    <t>1101</t>
  </si>
  <si>
    <t>Prestar los servicios profesionales en el fortalecimiento de las gestiones de carácter administrativo y contractual de la secretaría distrital de gobierno en el marco del modelo integrado de planeación y gestión institucional y sectorial</t>
  </si>
  <si>
    <t>Prestar los servicios profesionales apoyando a la Dirección para la Gestión Policiva, en el acompañamiento, desarrollo e implementación de las estrategias de comunicación, producción audiovisual y pedagógicas requeridas por la DGP en el marco de la estrategia de prevención de comportamientos contrarios a la convivencia y las metas y competencias de la dirección.</t>
  </si>
  <si>
    <t>Prestar servicios de apoyo a la Secretaría Distrital de Gobierno en el diagnóstico, apoyo técnico u administrativo, revisión y verificación de los procesos relacionados al mantenimiento y buen funcionamiento de la infraestructura de los predios que guarden relación con la Entidad, especialmente los relacionados con la gestión policiva</t>
  </si>
  <si>
    <t>Prestar servicios de apoyo para el levantamiento técnico de inventarios documentales en los archivos de la Secretaría Distrital de Gobierno, especialmente los relacionados con la gestión policiva.</t>
  </si>
  <si>
    <t>Prestar los servicios profesionales brindando soporte a la dirección para la gestión policiva, para el seguimiento al cumplimiento de los fallos judiciales y administrativos que sean priorizados con el fin de fortalecer las funciones de inspección, vigilancia y control.</t>
  </si>
  <si>
    <t>Prestar los servicios profesionales en la Secretaría Distrital de Gobierno para realizar las actividades administración, optimización  y soporte en la plataforma BPM Bizagi en todos sus ambientes#.</t>
  </si>
  <si>
    <t>Prestar los servicios profesionales a la Secretaria Distrital de Gobierno para el desarrollo, mantenimiento, fortalecimiento e implementación de portales y micrositios web de la entidad.</t>
  </si>
  <si>
    <t>Prestar los servicios profesionales en la Secretaría Distrital de  Gobierno como analista de sistemas para el desarrollo puesta en  producción y mantenimiento de las soluciones de software basadas en  tecnologías Java administradas por la Secretaría Distrital de Gobierno.</t>
  </si>
  <si>
    <t>Contratar la adquisición e instalación de mobiliario, elementos de hardware y elementos de software, para la solución integral y puesta en funcionamiento de salas de audiencia de la Secretaria Distrital de Gobierno</t>
  </si>
  <si>
    <t>Prestar los servicios profesionales para apoyar la implementación y el desarrollo de las diferentes campañas de comunicación que adelante la Secretaría Distrital de Gobierno, para fortalecer la divulgación de las políticas, planes, programas y proyectos que se lideran, especialmente los relacionados con el fortalecimiento de la convivencia.</t>
  </si>
  <si>
    <t>Prestar los servicios profesionales para apoyar la coordinación operativa de Comunicaciones y la implementación de productos periodísticos de la Secretaría Distrital de Gobierno especialmente los tendientes a la promoción de la convivencia en la ciudad</t>
  </si>
  <si>
    <t>Solicitud CDP de ARL Subsecretaria de Gestión Local mediante memorado 20212000068953  Pago de la planilla 52397769, para el pago de la ARL del mes de julio de 2021.</t>
  </si>
  <si>
    <t>Pago de la autoliquidación de la nómina general de julio 2021. (Planta de Inversión).</t>
  </si>
  <si>
    <t>PRESTAR SUS SERVICIOS PROFESIONALES PARA APOYAR A LA SECRETARIA DISTRITAL DE GOBIERNO, EN LA REVISIÓN, ORIENTACIÓN, DIAGNOSTICO, FORTALECIMIENTO PROCESAL, SUSTANTIVO Y JURISPRUDENCIAL EN LOS PROCESOS DE PRIMERA INSTANCIA QUE SE ADELANTAN EN LA ENTIDAD.</t>
  </si>
  <si>
    <t>Prestar servicios profesionales en la Subsecretaría de Gestión Local para la intervención y seguimiento de asuntos relacionados con el uso  del espacio público y la prevención de las ocupaciones ilegales en el l marco de la estrategia definida por la subsecretaría.</t>
  </si>
  <si>
    <t>Brindar servicios profesionales para representar Judicial y extrajudicialmente a la Entidad en los procesos que le sean asignados, así como en las demás actuaciones administrativas que se requieran.</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</si>
  <si>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</si>
  <si>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Prestar los servicios de apoyo a la gestión en el fortalecimiento de las diferentes acciones y tramites que requiera la Secretaría Distrital de Gobierno.</t>
  </si>
  <si>
    <t>PRESTAR SERVICIOS PROFESIONALES JURÍDICOS EN LAS DIFERENTES ETAPAS DE LAS CONVOCATORIAS PARA LA PROVISIÓN DE EMPLEOS DE CARÁCTER TEMPORAL ADELANTADAS POR LA SECRETARIA DISTRITAL DE GOBIERNO</t>
  </si>
  <si>
    <t>Prestar servicios profesionales especializados en el desarrollo y control de los procesos y procedimientos de la gestión documental de la entidad especialmente los relacionados con la gestión policiva, enfocado al Sistema de Gestión de Documentos Electrónicos y Archivo-SGDEA, para la Secretaría Distrital de Gobierno.</t>
  </si>
  <si>
    <t>PRESTAR SERVICIOS PROFESIONALES EN LAS DIFERENTES ETAPAS DE LAS CONVOCATORIAS PARA LA PROVISIÓN DE EMPLEOS DE CARÁCTER TEMPORAL ADELANTADAS POR LA SECRETARIA DISTRITAL DE GOBIERNO</t>
  </si>
  <si>
    <t>Prestar servicios de apoyo para el levantamiento técnico de inventarios documentales en los archivos de la Secretaría Distrital de Gobierno, especialmente los relacionados con la gestión policiva</t>
  </si>
  <si>
    <t>Prestar los servicios profesionales para brindar soporte jurídico en las actividades de inspección, vigilancia y control, en los temas relacionados con actividades económicas, ambientales, bienestar y protección animal, así como de cerros orientales y Rio Bogotá</t>
  </si>
  <si>
    <t>Pago de la nómina general de agosto de 2021. (Planta de Inversión).</t>
  </si>
  <si>
    <t>Prestar servicios de apoyo para el levantamiento técnico de inventarios documentales en los archivos de la Secretaría Distrital de Gobierno, especialmente los relacionados con la Gestión Policiva</t>
  </si>
  <si>
    <t>Prestar servicios de apoyo para la administración del inventario en estado natural de los archivos de la Secretaría Distrital de Gobierno, especialmente los relacionados con la gestión policiva</t>
  </si>
  <si>
    <t>Prestar los servicios profesionales apoyando a la Dirección para la Gestión Policiva, en el acompañamiento, desarrollo e implementación de las estrategias de comunicación requeridas por la DGP en el marco de la estrategia de prevención de comportamientos contrarios a la convivencia y las metas y competencias de la dirección.</t>
  </si>
  <si>
    <t>ADQUIRIR BAJO LA MODALIDAD DE COMPRAVENTA 20 TABLETS ANDROID PARA LA SECRETARIA DISTRITAL DE GOBIERNO</t>
  </si>
  <si>
    <t>DESARROLLAR UN DIPLOMADO VIRTUAL EN DERECHO POLICIVO, DIRIGIDO A LOS EQUIPOS DE TRABAJO DE LAS INSPECCIONES DE POLICÍA, LA DIRECCIÓN PARA LA GESTIÓN POLICIVA Y LA DIRECCIÓN PARA LA GESTIÓN ADMINISTRATIVA ESPECIAL DE POLICÍA DE LA SECRETARIA DISTRITAL DE GOBIERNO.</t>
  </si>
  <si>
    <t>REALIZAR LA ADICION Y OTRO SÍ DEL CONTRATO No. 757 DE 2021 SUSCRITO POR LA SECRETARIA DISTRITAL DE GOBIERON Y PSIGMA CORPORATION SAS</t>
  </si>
  <si>
    <t>1399</t>
  </si>
  <si>
    <t>1437</t>
  </si>
  <si>
    <t>1442</t>
  </si>
  <si>
    <t>1339</t>
  </si>
  <si>
    <t>1448</t>
  </si>
  <si>
    <t>1356</t>
  </si>
  <si>
    <t>1462</t>
  </si>
  <si>
    <t>1362</t>
  </si>
  <si>
    <t>1323</t>
  </si>
  <si>
    <t>1477</t>
  </si>
  <si>
    <t>1333</t>
  </si>
  <si>
    <t>1478</t>
  </si>
  <si>
    <t>1343</t>
  </si>
  <si>
    <t>1485</t>
  </si>
  <si>
    <t>1296</t>
  </si>
  <si>
    <t>1486</t>
  </si>
  <si>
    <t>1371</t>
  </si>
  <si>
    <t>1499</t>
  </si>
  <si>
    <t>1349</t>
  </si>
  <si>
    <t>1501</t>
  </si>
  <si>
    <t>1392</t>
  </si>
  <si>
    <t>1513</t>
  </si>
  <si>
    <t>1516</t>
  </si>
  <si>
    <t>1347</t>
  </si>
  <si>
    <t>1527</t>
  </si>
  <si>
    <t>1372</t>
  </si>
  <si>
    <t>1528</t>
  </si>
  <si>
    <t>1421</t>
  </si>
  <si>
    <t>1540</t>
  </si>
  <si>
    <t>1422</t>
  </si>
  <si>
    <t>1546</t>
  </si>
  <si>
    <t>1551</t>
  </si>
  <si>
    <t>1443</t>
  </si>
  <si>
    <t>1557</t>
  </si>
  <si>
    <t>1561</t>
  </si>
  <si>
    <t>1383</t>
  </si>
  <si>
    <t>1562</t>
  </si>
  <si>
    <t>1564</t>
  </si>
  <si>
    <t>1565</t>
  </si>
  <si>
    <t>1569</t>
  </si>
  <si>
    <t>1425</t>
  </si>
  <si>
    <t>1572</t>
  </si>
  <si>
    <t>1408</t>
  </si>
  <si>
    <t>1574</t>
  </si>
  <si>
    <t>1583</t>
  </si>
  <si>
    <t>1584</t>
  </si>
  <si>
    <t>1586</t>
  </si>
  <si>
    <t>1592</t>
  </si>
  <si>
    <t>1466</t>
  </si>
  <si>
    <t>1595</t>
  </si>
  <si>
    <t>1602</t>
  </si>
  <si>
    <t>JUAN SEBASTIAN MACHADO SANTOS</t>
  </si>
  <si>
    <t>LAURA XIMENA ALDANA CHOCONTA</t>
  </si>
  <si>
    <t>JUAN ARMANDO RUBIANO GONZALEZ</t>
  </si>
  <si>
    <t>JHONNATTAN  JARAMILLO GARCIA</t>
  </si>
  <si>
    <t>JULIANA  VALCARCEL PATIÑO</t>
  </si>
  <si>
    <t>HENRRY JOHAN GOMEZ CASTAÑEDA</t>
  </si>
  <si>
    <t>WILMER ALEXIS VALENCIA CONTO</t>
  </si>
  <si>
    <t>MARCO FIDEL PEDROZA HUERTAS</t>
  </si>
  <si>
    <t>OSCAR  PREGONERO GUERRERO</t>
  </si>
  <si>
    <t>VALENTINA  VASQUEZ BELTRAN</t>
  </si>
  <si>
    <t>MOTOROLA SOLUTIONS COLOMBIA LIMITADA</t>
  </si>
  <si>
    <t>Prestar servicios profesionales para el acompañamiento técnico de las actividades relacionadas con el componente de planeación en el marco de la ejecución y seguimiento de los proyectos de inversión de la Secretaría Distrital de Gobierno.</t>
  </si>
  <si>
    <t>PRESTAR SERVICIOS DE APOYO EN LA GESTIÓN ADMINISTRATIVA DE LA DIRECCIÓN DE CONVIVENCIA Y DIÁLOGO SOCIAL PARA FORTALECER LA CONVIVENCIA, LA CULTURA CIUDADANA Y LA GOBERNABILIDAD EN LA CIUDAD</t>
  </si>
  <si>
    <t>Prestar servicios profesionales a la Secretaría Distrital de Gobierno para el diseño e implementación de herramientas para la visualización de datos, que apoyen la gestión del conocimiento e innovación en la entidad</t>
  </si>
  <si>
    <t>Solicitud CDP de ARL Dirección de Convivencia y Dialogo Social, mediante memorado 20213000005353  Pago de la planilla 52397769, para el pago de la ARL del mes de julio de 2021.</t>
  </si>
  <si>
    <t>Prestar servicios de apoyo a la gestión a la Secretaría Distrital de Gobierno para la implementación de la Política Pública Distrital de Atención a la Ciudadanía</t>
  </si>
  <si>
    <t>Prestar los servicios profesionales para realizar actividades de apoyo a la formulación, implementación y seguimiento al sistema de gestión ambiental, así como de gestión de riesgo y cambio climático de la entidad, con los lineamientos establecidos en el Modelo de Planeación y Gestión y la normatividad vigente aplicable.</t>
  </si>
  <si>
    <t>PRESTAR SERVICIOS PROFESIONALES PARA LA PUESTA EN MARCHA DEL OBSERVATORIO DE CONFLICTIVIDAD SOCIAL POR MEDIO DEL DESARROLLO METODOLÓGICO, TÉCNICO, ACADÉMICO O TECNOLÓGICO DE LOS COMPONENTES ASIGNADOS, APOYAR A LA DIRECCIÓN EN LOS TEMAS RELACIONADOS CON LA CONVIVENCIA, DIÁLOGO SOCIAL Y PROTESTAS SOCIALES.</t>
  </si>
  <si>
    <t>Prestar servicios profesionales de acompañamiento jurídico al director(a) en los procesos de la Dirección de Convivencia y Diálogo Social.</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</si>
  <si>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</si>
  <si>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los servicios de profesional especializado en la Secretaría Distrital de Gobierno, en el acompañamiento técnico en la implementación de las herramientas que soportan la planeación, la ejecución y el seguimiento de los planes, programas y proyectos de la entidad</t>
  </si>
  <si>
    <t>Prestar servicios de apoyo a la gestión de la Secretaría Distrital de Gobierno en lo referente al desarrollo de procesos de participación gestiones misionales entre las dependencias de la Secretaría.</t>
  </si>
  <si>
    <t>PRESTAR LOS SERVICIOS DE APOYO A LA GESTIÓN A LA DIRECCIÓN DE CONVIVENCIA Y DIÁLOGO SOCIAL PARA BRINDAR ACOMPAÑAMIENTO EN LOS PROCESOS DE CONFLICTIVIDAD SOCIAL, MOVILIZACIÓN CIUDADANA, AGLOMERACIONES ASÍ COMO EN LA IMPLEMENTACIÓN DE ACCIONES DE DIÁLOGO Y PREVENCIÓN QUE SE REQUIERAN EN MATERIA GOBERNABILIDAD.</t>
  </si>
  <si>
    <t>PRESTAR SERVICIOS DE APOYO A LA GESTIÓN PARA LA PROMOCIÓN DE LA A SANA CONVIVENCIA EN EL FÚTBOL DENTRO Y FUERA DEL ESTADIO A TRAVÉS DEL PROGRAMA DE BARRISMO SOCIAL, ASISTIR LOS TEMAS  RELACIONADOS CON LA CONVIVENCIA, DIALOGO SOCIAL Y PROTESTAS.</t>
  </si>
  <si>
    <t>Prestar los servicios profesionales en la Secretaria Distrital de Gobierno en las diferentes fases de formulación, implementación, seguimiento y/o evaluación de metodologías y herramientas para las políticas públicas del sector gobierno.</t>
  </si>
  <si>
    <t>PRESTAR LOS SERVICIOS DE APOYO A LA GESTIÓN PARA LA PUESTA EN MARCHA DEL OBSERVATORIO DE DIÁLOGO SOCIAL Y BRINDAR ACOMPAÑAMIENTO EN LA IMPLEMENTACIÓN DE ACCIONES DE DIÁLOGO Y PREVENCIÓN QUE SE REQUIERAN EN MATERIA GOBERNABILIDAD EN ARTICULACIÓN CON LAS POLÍTICAS PÚBLICAS A CARGO DEL SECTOR Y DE LAS DEPENDENCIAS ADSCRITAS.</t>
  </si>
  <si>
    <t>PRESTAR SERVICIOS PROFESIONALES PARA LA PROMOCIÓN DE LA SANA CONVIVENCIA EN EL FÚTBOL DENTRO Y FUERA DEL ESTADIO A TRAVÉS DEL PROGRAMA DE BARRISMO SOCIAL, ASISTIR LOS TEMAS RELACIONADOS CON LA CONVIVENCIA, DIALOGO SOCIAL Y PROTESTAS</t>
  </si>
  <si>
    <t>Prestar los servicios profesionales a la Secretaría Distrital de Gobierno para el desarrollo, implementación y mantenimiento de los sitios, sedes y portales web de la entidad de acuerdo con la metodología, políticas y estándares definidos</t>
  </si>
  <si>
    <t>PRESTAR SERVICIOS DE APOYO A LA GESTIÓN PARA LA PROMOCIÓN DE LA SANA CONVIVENCIA EN EL FÚTBOL DENTRO Y FUERA DEL ESTADIO A TRAVÉS DEL PROGRAMA DE BARRISMO SOCIAL</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</si>
  <si>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</si>
  <si>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SERVICIOS PROFESIONALES PARA APOYAR LA COORDINACIÓN DE LA PROMOCION DE LA SANA CONVIVENCIA EN EL FUTBOL DENTRO Y FUERA DEL ESTADIO A TRAVES DEL PROGRMA DE BARRISMO SOCIAL</t>
  </si>
  <si>
    <t>PRESTAR SERVICIOS PROFESIONALES ESPECIALIZADOS PARA APOYAR LA COORDINACIÓN DE LA PROMOCIÓN DE LA SANA CONVIVENCIA EN EL FÚTBOL DENTRO Y FUERA DEL ESTADIO A TRAVÉS DEL PROGRAMA DE BARRISMO SOCIAL</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</si>
  <si>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</si>
  <si>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ADQUIRIR RADIOS PORTÁTILES APX2000 PARA LA SECRETARIA DISTRITAL DE GOBIERNO</t>
  </si>
  <si>
    <t>1080</t>
  </si>
  <si>
    <t>1171</t>
  </si>
  <si>
    <t>1355</t>
  </si>
  <si>
    <t>1438</t>
  </si>
  <si>
    <t>1287</t>
  </si>
  <si>
    <t>1459</t>
  </si>
  <si>
    <t>1419</t>
  </si>
  <si>
    <t>1552</t>
  </si>
  <si>
    <t>1553</t>
  </si>
  <si>
    <t>1427</t>
  </si>
  <si>
    <t>1556</t>
  </si>
  <si>
    <t>1585</t>
  </si>
  <si>
    <t>1588</t>
  </si>
  <si>
    <t>Prestar los servicios profesionales especializados para el análisis, desarrollo, puesta en producción, mantenimiento y soporte de las soluciones de software basadas en tecnologías web JavaScript, typeScrpt, NestJS, NodeJS, ReactJS, html, Css que se encuentran desplegados en la infraestructura de la Secretaría Distrital de Gobierno con contenedores Docker</t>
  </si>
  <si>
    <t>PRESTAR SERVICIOS PROFESIONALES EN LA SUBSECRETARÍA PARA LA GOBERNABILIDAD Y LA GARANTÍA DE DERECHOS PARA APOYAR EL ACOMPAÑAMIENTO Y  SEGUIMIENTO A LA FORMULACIÓN E IMPLEMENTACIÓN DE POLÍTICAS PÚBLICAS, PLANES Y PROYECTOS A CARGO DE LA SUBSECRETARÍA.</t>
  </si>
  <si>
    <t>REALIZAR LA ADICION Y PRORROGA DEL CONTRATO 429 DE 2021 SUSCRITO ENTRE SECRETARIA DISTRITAL DE COBIERNO Y ALVARO ECHEVERRY LONDOÑO.</t>
  </si>
  <si>
    <t>Prestar los servicios profesionales a la Secretaría Distrital de Gobierno en la formulación, implementación, seguimiento y/o evaluación de metodologías y herramientas para la formulación de las políticas públicas.</t>
  </si>
  <si>
    <t>Prestar los servicios de apoyo a la gestión en la Secretaría Distrital de Gobierno en los asuntos relacionados con las estrategias de comunicaciones desde el Despacho en cumplimiento al manejo efectivo de la información.</t>
  </si>
  <si>
    <t>Prestar servicios profesionales para apoyar la transversalización y territorialización de la igualdad para la mujer, equidad de géneros y el enfoque diferencial en planes, programas y proyectos de la Subsecretaría para la Gobernabilidad y Garantía de Derechos y dependencias adscritas.</t>
  </si>
  <si>
    <t>PRESTAR LOS SERVICIOS DE SOPORTE A LA GESTIÓN PARA BRINDAR ACOMPAÑAMIENTO A LAS ACCIONES DE IMPLEMENTACIÓN DEL LABORATORIO DE INNOVACIÓN SOCIAL EN ARTICULACIÓN CON LAS POLÍTICAS PÚBLICAS A CARGO DEL SECTOR</t>
  </si>
  <si>
    <t>Prestar los servicios de apoyo a la gestión de la Secretaría Distrital de Gobierno, apoyando el diseño e implementación de una estrategia de democracia y participación digital, en articulación de las actividades propias de la misionalidad de la Secretaría en lo asociado a participación ciudadana.</t>
  </si>
  <si>
    <t>PRESTAR SERVICIOS PROFESIONALES ESPECIALIZADOS EN LA SUBSECRETARÍA PARA LA GOBERNABILIDAD Y LA GARANTÍA DE DERECHOS PARA APOYAR LOS TEMAS JURÍDICOS DE LA SUBSECRETARÍA EN EL MARCO DEL MODELO DE GESTIÓN DE LA ENTIDAD</t>
  </si>
  <si>
    <t>Prestar servicios profesionales para el diseño e implementación del laboratorio de innovación social en articulación con las políticas públicas a cargo del sector</t>
  </si>
  <si>
    <t>1351</t>
  </si>
  <si>
    <t>1510</t>
  </si>
  <si>
    <t>Prestar los servicios profesionales para realizar la elaboración de documentos e informes, así como el acompañamiento y apoyo a las sesionesComisiones Permanentes y la Plenaria, mesas de trabajo, foros, comisioneaccidentales y audiencias, adelantadas por el Concejo de Bogotá,  atendiendo lo establecido en la normatividad vigente y los procesos y procedimientos  que tenga adoptados la Secretaría Distrital de Gobierno.</t>
  </si>
  <si>
    <t>JUAN CARLOS ROMERO VENEGAS</t>
  </si>
  <si>
    <t>WILLIAM  GONZALEZ BETANCOURT</t>
  </si>
  <si>
    <t>JAVIER  SOTELO</t>
  </si>
  <si>
    <t>SANDRA LUCIA RODRIGUEZ TORRES</t>
  </si>
  <si>
    <t>JOSE EDUARDO LUCERO CASTRO</t>
  </si>
  <si>
    <t>Prestar los servicios profesionales en la Oficina de Asuntos Disciplinarios de la Secretaria Distrital de Gobierno, en materia disciplinaria y en la coordinación del grupo secretarial.</t>
  </si>
  <si>
    <t>Prestar los servicios profesionales en el fortalecimiento de las gestiones de carácter administrativo y contractual de la secretaría distrital de gobierno en el marco del modelo integrado de planeación y gestión institucional y sectorial.</t>
  </si>
  <si>
    <t>Solicitud CDP de ARL Dirección Administrativa mediante memorado 20214200075603  Pago de la planilla 52397769, para el pago de la ARL del mes de julio de 2021.</t>
  </si>
  <si>
    <t>Prestar los servicios profesionales para coordinar la ejecución de acciones encaminadas a la implementación y mantenimiento del Sistema de Gestión Ambiental, así como de gestión del riesgo y cambio climático de la entidad, bajo los lineamientos del Modelo de Planeación y Gestión y la normatividad aplicable en la materia.</t>
  </si>
  <si>
    <t>Prestar los servicios profesionales a la Dirección de Gestión de Talento Humano con el fin de apoyar el desarrollo organizacional de la entidad en materia de bienestar, capacitación y seguridad en el trabajo.</t>
  </si>
  <si>
    <t>Prestar los servicios profesionales en la Dirección de Tecnologías e  las actividades de administración de la plataforma Bizagi, la automatización de procesos, desarrollo, soporte y mantenimiento de los sistemas de información desarrollados en esta plataforma.</t>
  </si>
  <si>
    <t>Prestar servicios de apoyo a la Dirección Administrativa para el seguimiento y verificación del funcionamiento mecánico de los vehículos de la Secretaria Distrital de Gobierno.</t>
  </si>
  <si>
    <t>Prestar los servicios profesionales en la Dirección de Tecnologías e Información para realizar las actividades de levantamientos y análisis de requerimientos, elaboración de casos de uso, elaboración y ejecución de planes de pruebas, entrenamiento, soporte de los aplicativos y servicios.</t>
  </si>
  <si>
    <t>Prestar los servicios profesionales en la Dirección de Tecnologías e Información para llevar a cabo la construcción, soporte y mantenimiento de las aplicaciones requeridas por la Secretaría Distrital de Gobierno, enmarcadas dentro de las etapas de análisis, diseño, desarrollo e implementación de sistemas de información, bajo arquitectura de desarrollo JAVA y base de datos ORACLE.</t>
  </si>
  <si>
    <t>Prestación de servicios profesionales especializados como abogado para representar judicial y extrajudicialmente a la entidad, en los procesos que le sean asignados, así como en las demás actuaciones administrativas que se requieran.</t>
  </si>
  <si>
    <t>Prestar los servicios profesionales como apoyo en la implementación del sistema de gestión ambiental, así como en las temáticas relacionadas con la gestión de riesgo y cambio climático de la Secretaría Distrital de Gobierno, bajo los lineamientos del Modelo de Planeación y Gestión.</t>
  </si>
  <si>
    <t>1354</t>
  </si>
  <si>
    <t>1463</t>
  </si>
  <si>
    <t>1365</t>
  </si>
  <si>
    <t>1472</t>
  </si>
  <si>
    <t>1350</t>
  </si>
  <si>
    <t>1495</t>
  </si>
  <si>
    <t>1554</t>
  </si>
  <si>
    <t>1560</t>
  </si>
  <si>
    <t>1454</t>
  </si>
  <si>
    <t>1577</t>
  </si>
  <si>
    <t>1596</t>
  </si>
  <si>
    <t>1603</t>
  </si>
  <si>
    <t>1057</t>
  </si>
  <si>
    <t>LUZ HEIDI QUIROGA GARCIA</t>
  </si>
  <si>
    <t>LUIS ALEJANDRO MALDONADO RAMIREZ</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</si>
  <si>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</si>
  <si>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servicios profesionales especializados a la Subsecretaria de Gestión Local para el seguimiento a la implementación del modelo de gestión transparente, incluyente, participativo y colaborativo local</t>
  </si>
  <si>
    <t>Prestar servicios profesionales en la Subsecretaría de Gestión Local para el acompañamiento jurídico para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</si>
  <si>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</si>
  <si>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profesionales en la Dirección para la Gestión del Desarrollo Local, apoyando técnicamente el seguimiento a la Inversión Local de los Fondos de Desarrollo Local FDL especialmente en lo relacionado con SIPSE LOCAL</t>
  </si>
  <si>
    <t>1480</t>
  </si>
  <si>
    <t>1379</t>
  </si>
  <si>
    <t>1512</t>
  </si>
  <si>
    <t>1415</t>
  </si>
  <si>
    <t>1534</t>
  </si>
  <si>
    <t>1539</t>
  </si>
  <si>
    <t>1594</t>
  </si>
  <si>
    <t>Prestar los servicios profesionales para apoyar a la Subdirección de Asuntos Étnicos en la atención a las comunidades y pueblos étnicos del Distrito a través de los Espacios de Atención Diferenciada y la reformulación e implementación de las políticas públicas étnicas.</t>
  </si>
  <si>
    <t>CAMILO ANDRES LOPEZ MORA</t>
  </si>
  <si>
    <t>NATALIA  PUPO ROJAS</t>
  </si>
  <si>
    <t>ELIANA DEL PILAR GONZALEZ DAGUA</t>
  </si>
  <si>
    <t>JUAN SEBASTIAN CARDENAS LONDOÑO</t>
  </si>
  <si>
    <t>LINA YENNYFER BEJARANO NEWBALL</t>
  </si>
  <si>
    <t>ANGYE JULIETH JIMENEZ CHACON</t>
  </si>
  <si>
    <t>MIGUEL ANDRES GARCIA ARAGON</t>
  </si>
  <si>
    <t>MARTHA INES ALARCON CARRERA</t>
  </si>
  <si>
    <t>GLADYS STELLA ORTEGA ARTEAGA</t>
  </si>
  <si>
    <t>INGRID ROCIO VEGA DURAN</t>
  </si>
  <si>
    <t>ANGELA MARIA HERNANDEZ MORENO</t>
  </si>
  <si>
    <t>DIANA CONSTANZA CARVAJAL HERNANDEZ</t>
  </si>
  <si>
    <t>CARLOS ADRIAN PEREZ GOMEZ</t>
  </si>
  <si>
    <t>EDUIN  LOZANO JIMENEZ</t>
  </si>
  <si>
    <t>MATEO  ESTRADA ECHEVERRI</t>
  </si>
  <si>
    <t>GINA MARCELA REYES SANCHEZ</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</si>
  <si>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</si>
  <si>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REALIZAR EL SEGUIMIENTO A LOS INFORMES DEL SISTEMA DE ALERTAS TEMPRANAS DE LA DEFENSORÍA DEL PUEBLO Y DE LA COMISIÓN INTERSECTORIAL DEL MINISTERIO DEL INTERIOR.</t>
  </si>
  <si>
    <t>Prestación de servicios profesionales para apoyar a la Subdirección de Asuntos Étnicos en la orientación y ejecución de las metas a cargo de la dependencia, acompañando sus procesos organizacionales y comunitarios a través de los Espacios de Atención Diferenciada.</t>
  </si>
  <si>
    <t>PRESTAR LOS SERVICIOS DE SOPORTE A LA GESTIÓN EN LA DIRECCIÓN DE DERECHOS HUMANOS PARA REALIZAR LA RECOLECCIÓN&lt;(&gt;,&lt;)&gt; PROCESAMIENTO, ANALISIS Y SEGUIMIENTO A LAS MEDIDAS DE ASISTENCIA BRINDADAS EN EL COMPONENTE DE LAS RUTAS DE PROMOCIÓN, PREVENCIÓN, ATENCIÓN Y PROTECCIÓN A LOS DERECHOS A LA VIDA, LIBERTAD, INTEGRIDAD Y SEGURIDAD DE PERSONAS Y GRUPOS DE ESPECIAL VULNERABILIDAD, ASÍ COMO EL SEGUIMIENTO DE GESTIÓN QUE SE REQUIERA ASOCIADAS A LAS ACCIONES ESTRATEGICAS DE LA DIRECCIÓN</t>
  </si>
  <si>
    <t>PRESTAR SERVICIOS PROFESIONALES EN LA DIRECCIÓN DE DERECHOS HUMANOS  PARA APOYAR LA COORDINACIÓN DE LA POLÍTICA PÚBLICA INTEGRAL DE DERECHOS HUMANOS, EL SISTEMA DISTRITAL DE DERECHOS HUMANOS.</t>
  </si>
  <si>
    <t>Pago de servicios públicos de los inmuebles en donde se encuentran los espacios de atención diferenciada CONFIA y Casa Indígena.  Pago del servicio de energía de Confía ubicado en la Calle 9 No. 4-70, periodo facturado del 27 de julio al 26 de agosto 2021, según factura No. 648225832-5.</t>
  </si>
  <si>
    <t>Pago de servicios públicos de los inmuebles en donde se encuentran los espacios de atención diferenciada CONFIA y Casa Indígena  Pago del servicio de aseo de Confía ubicado en la Calle 9 No. 4-70, periodo facturado del 02 de julio al 01 de agosto 2021, según factura No. 648225832.</t>
  </si>
  <si>
    <t>RECLASIFICION DE ARL A RIESGO V A LOS CONTRATISTAS DE ACUERDO AL MEMORANDO 20212000180713  Pago de la planilla No. 53182849 para el pago de los aportes de los riesgos laborales del mes de agosto, de los contratistas con el riesgo V.</t>
  </si>
  <si>
    <t>PRESTAR SERVICIOS DE APOYO A LA GESTIÓN TECNICA REQUERIDA PARA LA FORMULACIÓN DEL PLAN DE VIDA DEL CABILDO INDÍGENA MUISCA DE BOSA, CONCERTADO EN EL PROCESO DE CONSULTA PREVIA DEL PLAN PARCIAL EL EDEN EL DESCANSO</t>
  </si>
  <si>
    <t>REALIZAR LA ADICION Y PRORROGA DEL CONTRATO 605 DE 2021 SUSCRITO ENTRE SECRETARIA DISTRITAL DE GOBIERNO Y ANGYE JULIETH JIMÉNEZ CHACÓN.</t>
  </si>
  <si>
    <t>PRESTAR SERVICIOS PROFESIONALES PARA REALIZAR LA GESTION TECNICA PARA LA IMPLEMENTACION Y TERRITORIALIZACION DE LA POLITICA PUBLICA DISTRITAL DE LIBERTADES FUNDAMENTALES DE  RELIGION, CULTO Y CONCIENCIA, LA PLATAFORMA INTERRELIGIOSA PARA LA ACCION SOCIAL Y COMUNITARIA (PIRPAS), Y EL FORTALECIMIENTO DE LA PARTICIPACION CIUDADANA DEL SECTOR.</t>
  </si>
  <si>
    <t>Pago de servicios públicos de los inmuebles en donde se encuentran los espacios de atención diferenciada CONFIA y Casa Indígena  Psgo del servicio de energía de Confía San Cristobal, ubicado en la Kr 3 No. 30 A sur -06. periodo facturado 04 de agosto al 03 de septiembre de 2021, según factura No. 649318581-1.</t>
  </si>
  <si>
    <t>Pago de servicios públicos de los inmuebles en donde se encuentran los espacios de atención diferenciada CONFIA y Casa Indígena  Pago del servicio de aseo de Confía San Cristobal, ubicado en la Cra 3 No. 30 A sur - 06, periodo facturado 213 de julio al 12 de agosto de 2021, según factura No. 649318581</t>
  </si>
  <si>
    <t>REALIZAR LA ADICION Y PRORROGA DEL CONTRATO 623 DE 2021 SUSCRITO ENTRE SECRETARIA DISTRITAL DE GOBIERNO Y JULIAN CAMILO ARANA MORENO.</t>
  </si>
  <si>
    <t>PRESTAR SERVICIOS PROFESIONALES EN LA DIRECCIÓN DE DERECHOS HUMANOS PARA APOYAR LA GESTIÓN PRECONTRACTUAL, CONTRACTUAL, LIQUIDACIÓN DE LOS PROCESOS DE CONTRATACIÓN REQUERIDOS POR LA DIRECCIÓN</t>
  </si>
  <si>
    <t>PRESTAR LOS SERVICIOS PROFESIONALES EN LA DIRECCIÓN DE DERECHOS HUMANOS EN LA GESTIÓN DE LAS ACCIONES ADMINISTRATIVAS, FINANCIERAS Y MISIONALES DE LA DIRECCIÓN, EN ESPECIAL LAS ENMARCADAS EN LOS PROYECTOS DE INVERSIÓN A CARGO DE LA DIRECCIÓN</t>
  </si>
  <si>
    <t>PRESTAR SERVICIOS PROFESIONALES DE EDUCACIÓN COMUNITARIA CON ENFOQUE RURAL E INTERCULTURAL, EN EL MARCO DEL PROGRAMA DISTRITAL DE EDUCACIÓN EN DERECHOS HUMANOS PARA LA PAZ Y LA RECONCILIACIÓN DE LA DIRECCIÓN DE DERECHOS HUMANOS</t>
  </si>
  <si>
    <t>REALIZAR LA ADICION Y PRORROGA DEL CONTRATO 690 DE 2021 SUSCRITO ENTRE SECRETARIA DISTRITAL DE COBIERNO Y OLGA LUCIA DÍAZ RODRIGUEZ</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</si>
  <si>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</si>
  <si>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DIRECCIÓN DE DERECHOS HUMANOS PARA REALIZAR EL SEGUIMIENTO A LOS INFORMES DEL SISTEMA DE ALERTAS TEMPRANAS DE LA DEFENSORÍA DEL PUEBLO Y DE LA COMISIÓN INTERSECTORIAL DEL MINISTERIO DEL INTERIOR</t>
  </si>
  <si>
    <t>PRESTAR SERVICIOS PROFESIONALES EN LA DIRECCIÓN DE DERECHOS HUMANOS PARA APOYAR EL SEGUIMIENTO DE LA POLÍTICA PÚBLICA INTEGRAL DE DERECHOS HUMANOS, EL SISTEMA DISTRITAL DE DERECHOS HUMANOS Y LA FORMULACIÓN DE LA POLÍTICA PÚBLICA PARA LA LUCHA CONTRA LA TRATA DE PERSONAS.</t>
  </si>
  <si>
    <t>PRESTAR SERVICIOS PROFESIONALES EN LA DIRECCIÓN DE DERECHOS HUMANOS PARA IMPLEMENTAR EL PROGRAMA DISTRITAL DE EDUCACION EN DERECHOS HUMANOS PARA LA PAZ Y LA RECONCILIACIÓN.</t>
  </si>
  <si>
    <t>Prestar servicios profesionales en la Subdirección de Asuntos de la Libertad Religiosa y de Conciencia para realizar la gestión de la implementación de la Política Pública Distrital de Libertades Fundamentales de Religión, Culto y Conciencia en los productos de la línea de investigación.</t>
  </si>
  <si>
    <t>Pago de servicios públicos de los inmuebles en donde se encuentran los espacios de atención diferenciada CONFIA y Casa Indígena.  Pago del servicio de energía de la Casa del Pensamiento indígena, ubicada en la Calle 9 No. 9-60, período facturado del 23 de agosto al 20 de septiembre de 2021, según facturas 651294070-9 $11.930, 651294075-5 $113.820 y 651294078-7 $28.520.</t>
  </si>
  <si>
    <t>Pago de servicios públicos de los inmuebles en donde se encuentran los espacios de atención diferenciada CONFIA y Casa Indígena  Pago del servicio de aseo de la Casa del Pensamiento indígena, ubicada en la Calle 9 No. 9-60, período facturado del 28 de julio al 27 de agosto de 2021, según facturas 651294067, 651294068, 651294069, 651294070, 651294071, 651294072, 651294073, 651294075 y 651294066.</t>
  </si>
  <si>
    <t>JULIAN DAVID CRUZ MORERA</t>
  </si>
  <si>
    <t>GERMAN AUGUSTO COLMENARES CORREA</t>
  </si>
  <si>
    <t>OSCAR HERNANDO VASQUEZ MOSQUERA</t>
  </si>
  <si>
    <t>JORGE ELIECER RODRIGUEZ BERNAL</t>
  </si>
  <si>
    <t>ANYELLY ESTEFANY GOMEZ SALAS</t>
  </si>
  <si>
    <t>JOSE MAURICIO SAENZ BARRETO</t>
  </si>
  <si>
    <t>FRANCISCO ARTURO TAFUR LOPEZ</t>
  </si>
  <si>
    <t>ANDRES MAURICIO MARTINEZ MONTOYA</t>
  </si>
  <si>
    <t>REALIZAR LA ADICION DEL CONTRATO 5 DE 2021 SUSCRITO ENTRE SECRETARIA DISTRITAL DE GOBIERNO Y DANIEL FELIPE MORA ROJAS.</t>
  </si>
  <si>
    <t>Prestar servicios profesionales a la Secretaría Distrital de Gobierno para la implementación y acompañamiento a las intervenciones en materia de infraestrctura que sean requeridas en el marco del modelo de gestión  policiva.</t>
  </si>
  <si>
    <t>Pago de la autoliquidación adicional de agosto 2021 por el ingreso de unos servidores públicos con posterioridad al cierre de la nómina de agosto. (Planta de Inversión).</t>
  </si>
  <si>
    <t>Pago de la autoliquidación de la nómina general de agosto de 2021 (Planta de Inversión)</t>
  </si>
  <si>
    <t>REALIZAR LA ADICION DEL CONTRATO 6 DE 2021 SUSCRITO ENTRE SECRETARIA DISTRITAL DE COBIERNO Y DIEGO FELIPE BAQUERO FRANCO</t>
  </si>
  <si>
    <t>Prestar los servicios profesionales en apoyando la implementación del  sistema de información geográfica y la gestión de la información espacial relacionada con los proyectos de inversión de la Secretaría  Distrital de Gobierno.</t>
  </si>
  <si>
    <t>Prestar sus servicios profesionales para la planeación, ejecución, seguimiento y el diagnostico cuantitativo y cualitativo de las actividades relacionadas con la gestión documental establecidas en la Dirección para la Gestión Policiva</t>
  </si>
  <si>
    <t>Prestar servicios profesionales a la Secretaría Distrital de Gobierno para gestionar y ajustar el Sistema de Información Georreferenciada (SIG) de la Entidad y de las soluciones empresariales requeridas sobre aplicaciones ArcGis Online, ArcGis Enterprise u otras soluciones de la plataforma SIG.</t>
  </si>
  <si>
    <t>Prestar los servicios profesionales para apoyar el cubrimiento de las actividades que se desarrollen en la Secretaría Distrital de Gobierno especialmente las relacionadas con la promoción de la cultura ciudadana.</t>
  </si>
  <si>
    <t>Pago de la nómina general de septiembre de 2021 (Planta de Inversión).</t>
  </si>
  <si>
    <t>Pago de cesantías al servidor público JOSÉ MIGUEL YANQUÉN ÁVILA retirado de la Planta Temporal de Inversión.</t>
  </si>
  <si>
    <t>Prestar los servicios profesionales a la Secretaría de Gobierno como editor de contenidos y coordinación periodística de la Secretaría Distrital de Gobierno&lt;(&gt;,&lt;)&gt; especialmente las relacionadas con la promoción de la cultura ciudadana.</t>
  </si>
  <si>
    <t>Prestar sus servicios profesionales apoyando a la Dirección para la Gestión Policiva en el acompañamiento en la implementación de las acciones y lineamientos técnicos del programa de gestión documental y demás instrumentos técnicos de acuerdo con los lineamientos archivísticos de la SDG.</t>
  </si>
  <si>
    <t>REALIZAR LA ADICION Y PRÓRROGA DEL CONTRATO 637 DE 2021 SUSCRITO ENTRE LA SECRETARIA DISTRITAL DE GOBIERNO Y LEIDY CAROLINA TORRES HERNANDEZ</t>
  </si>
  <si>
    <t>REALIZAR LA ADICIÓN Y PRÓRROGA DEL CONTRATO 660 DE 2021 SUSCRITO POR LA SECRETARÍA DISTRITAL DE GOBIERNO Y CLAUDIA PATRICIA AHUMADA SABALZA</t>
  </si>
  <si>
    <t>UNIPLES SA</t>
  </si>
  <si>
    <t>JAIRO ANTONIO DIAZ ACHURY</t>
  </si>
  <si>
    <t>LUIS EDUARDO BARBOSA SANCHEZ</t>
  </si>
  <si>
    <t>JOSE NICOLAS REYES GARCIA</t>
  </si>
  <si>
    <t>CAMILO ALEJANDRO RODRIGUEZ FONSECA</t>
  </si>
  <si>
    <t>DIEGO ARMANDO JIMENEZ PEREZ</t>
  </si>
  <si>
    <t>PABLO GERMAN BARON MARIN</t>
  </si>
  <si>
    <t>DANIEL ALBERTO FRANCO ROJAS</t>
  </si>
  <si>
    <t>MYRIAM ANDREA ORDOÑEZ PINZON</t>
  </si>
  <si>
    <t>LUISA FERNANDA MALAGON GOMEZ</t>
  </si>
  <si>
    <t>ADQUIRIR BAJO LA MODALIDAD DE COMPRAVENTA IMPRESORAS PARA LA SECRETARIA DISTRITAL DE GOBIERNO</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</si>
  <si>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</si>
  <si>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PRESTAR SERVICIOS PROFESIONALES PARA LA GESTIÓN Y ARTICULACIÓN EN LOS PROCESOS MISIONALES DE LA DIRECCIÓN DE CONVIVENCIA Y DIÁLOGO SOCIAL EN LOS TEMAS RELACIONADOS  CON LA CONVIVENCIA, DIÁLOGO SOCIAL Y PROTESTAS SOCIALES.</t>
  </si>
  <si>
    <t>Solicitud CDP de ARL Dirección de Convivencia y Dialogo Social, mediante memorado 20213000005353  Pago de la planilla 53182849 para el pago de los aportes de los riesgos laborales del mes de agosto de 2021, de los contratistas con un riesgo V.</t>
  </si>
  <si>
    <t>PRESTAR SERVICIOS PROFESIONALES PARA LA PROMOCIÓN DE LA SANA CONVIVENCIA EN EL FÚTBOL DENTRO Y FUERA DEL ESTADIO A TRAVÉS DEL PROGRAMA DE BARRISMO SOCIAL, ASISTIR LOS TEMAS RELACIONADOS CON LA CONVIVENCIA, DIALOGO SOCIAL Y PROTESTA.</t>
  </si>
  <si>
    <t>Prestar los servicios profesionales en la Subsecretaría para la Gobernabilidad y Garantía para apoyar la coordinación de la recolección, procesamiento&lt;(&gt;,&lt;)&gt; análisis y seguimiento a las medidas de asistencia brindadas en el componente de las rutas de promoción, prevención, atención y protección a los derechos a la vida, libertad, integridad y seguridad de personas y grupos de especial vulnerabilidad, así como el seguimiento de gestión que se requiera asociadas a las acciones estratégicas de la Dirección.</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</si>
  <si>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 adscritas</t>
  </si>
  <si>
    <t>REALIZAR LA ADICION Y PRORROGA DEL CONTRATO 624 DE 2021 SUSCRITO ENTRE SECRETARIA DISTRITAL DE GOBIERNO Y MARIA ALEJANDRA TORRES SOLER</t>
  </si>
  <si>
    <t>REALIZAR LA ADICION Y PRORROGA DEL CONTRATO 801 DE 2021 SUSCRITO ENTRE SECRETARIA DISTRITAL DE GOBIERNO Y PABLO GERMAN BARON MARIN</t>
  </si>
  <si>
    <t>REALIZAR LA ADICION Y PRORROGA DEL CONTRATO 789 DE 2021 SUSCRITO ENTRE SECRETARIA DISTRITAL DE GOBIERNO Y HOLMAN SMITH PANQUEVA RAMIREZ.</t>
  </si>
  <si>
    <t>REALIZAR LA ADICION Y PRORROGA DEL CONTRATO 663 DE 2021  SUSCRITO ENTRE SECRETARIA DISTRITAL DE GOBIERNO Y OSCAR DAVID PATERNINA NEITA.</t>
  </si>
  <si>
    <t>REALIZAR LA ADICION Y PRORROGA DEL CONTRATO 788 DE 2021 SUSCRITO ENTRE SECRETARIA DISTRITAL DE GOBIERNO Y ANDRÉS FELIPE CALDERON OTERO.</t>
  </si>
  <si>
    <t>REALIZAR LA ADICION Y PRORROGA DEL CONTRATO 815 DE 2021 SUSCRITO ENTRE SECRETARIA DISTRITAL DE GOBIERNO Y  INGRID NATALIA ALVARADO MAHECHA.</t>
  </si>
  <si>
    <t>PRESTAR SERVICIOS PROFESIONALES PARA LA PROMOCIÓN DE LA SANA CONVIVENCIA EN EL FÚTBOL DENTRO Y FUERA DEL ESTADIO A TRAVÉS DEL PROGRAMA DE BARRISMO SOCIAL, ASISTIR LOS TEMAS RELACIONADOS CON LA CONVIVENCIA, DIALOGO SOCIAL Y PROTESTAS.</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</si>
  <si>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</si>
  <si>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</si>
  <si>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657 DE 2021 SUSCRITO ENTRE SECRETARIA DISTRITAL DE GOBIERNO Y JOHN EDISON RAMIREZ BAUTISTA</t>
  </si>
  <si>
    <t>REALIZAR LA ADICION Y PRORROGA DEL CONTRATO 799 DE 2021 SUSCRITO ENTRE SECRETARIA DISTRITAL DE GOBIERNO Y DIEGO GERARDO TAPIA LLANOS</t>
  </si>
  <si>
    <t>REALIZAR LA ADICION Y PRORROGA DEL CONTRATO 651 DE 2021 SUSCRITO ENTRE SECRETARIA DISTRITAL DE GOBIERNO Y EDGAR JHONNATAM BELEÑO GARCIA</t>
  </si>
  <si>
    <t>REALIZAR LA ADICION Y PRORROGA DEL CONTRATO 653 DE 2021 SUSCRITO ENTRE SECRETARIA DISTRITAL DE GOBIERNO Y JESSICA POVEDA SUAREZ</t>
  </si>
  <si>
    <t>REALIZAR LA ADICION Y PRORROGA DEL CONTRATO 539 DE 2021 SUSCRITO ENTRE SECRETARIA DISTRITAL DE GOBIERNO Y RAUL EDUARDO SILVA DÍAZ</t>
  </si>
  <si>
    <t>REALIZAR LA ADICION Y PRORROGA DEL CONTRATO 659 DE 2021 SUSCRITO ENTRE SECRETARIA DISTRITAL DE GOBIERNO Y FREDY ALEXANDER ROMERO GONZALEZ</t>
  </si>
  <si>
    <t>REALIZAR LA ADICION Y PRORROGA DEL CONTRATO 766 DE 2021 SUSCRITO ENTRE SECRETARIA DISTRITAL DE GOBIERNO Y MYRIAM ANDREA ORDOÑEZ PINZON</t>
  </si>
  <si>
    <t>REALIZAR LA ADICION Y PRORROGA DEL CONTRATO 578 DE 2021 SUSCRITO ENTRE SECRETARIA DISTRITAL DE GOBIERNO Y JUANA MARIA CAYCEDO LOPEZ</t>
  </si>
  <si>
    <t>REALIZAR LA ADICION Y PRÓRROGA DEL CONTRATO 639 DE 2021 SUSCRITO ENTRE LA SECRETARIA DISTRITAL DE GOBIERNO Y LUIS CAMILO RINCÓN JIMENEZ</t>
  </si>
  <si>
    <t>REALIZAR LA ADICION Y PRORROGA DEL CONTRATO 784 DE 2021 SUSCRITO ENTRE SECRETARIA DISTRITAL DE GOBIERNO Y LEIDY PAULA CORDOBA MORENO</t>
  </si>
  <si>
    <t>REALIZAR LA ADICION Y PRORROGA DEL CONTRATO 649 DE 2021 SUSCRITO ENTRE SECRETARIA DISTRITAL DE GOBIERNO Y YEIMI NATALIA RODRIGUEZ SIERRA</t>
  </si>
  <si>
    <t>REALIZAR LA ADICION Y PRORROGA DEL CONTRATO 791 DE 2021 SUSCRITO ENTRE SECRETARIA DISTRITAL DE GOBIERNO Y MARIA ESPERANZA RIAÑO GONZALEZ</t>
  </si>
  <si>
    <t>REALIZAR LA ADICION Y PRORROGA DEL CONTRATO 630 DE 2021 SUSCRITO ENTRE SECRETARIA DISTRITAL DE GOBIERNO Y LEIDY ALEJANDRA RAMIREZ SANCHEZ</t>
  </si>
  <si>
    <t>REALIZAR LA ADICION Y PRORROGA DEL CONTRATO 635 DE 2021 SUSCRITO ENTRE SECRETARIA DISTRITAL DE GOBIERNO Y JOSE DANIEL CAMARGO URIBE</t>
  </si>
  <si>
    <t>REALIZAR LA ADICION Y PRORROGA DEL CONTRATO 664 DE 2021 SUSCRITO ENTRE SECRETARIA DISTRITAL DE GOBIERNO Y SANTIAGO ROMERO VANEGAS</t>
  </si>
  <si>
    <t>REALIZAR LA ADICION Y PRORROGA DEL CONTRATO 790 DE 2021 SUSCRITO ENTRE SECRETARIA DISTRITAL DE GOBIERNO Y JOHAN SEBASTIAN BARRERA RAMIREZ</t>
  </si>
  <si>
    <t>REALIZAR LA ADICION Y PRORROGA DEL CONTRATO 666 DE 2021 SUSCRITO ENTRE SECRETARIA DISTRITAL DE GOBIERNO Y PAOLA ANDREA MATTA BERNAL</t>
  </si>
  <si>
    <t>Prestar los servicios profesionales a la Subsecretaría para la Gobernabilidad y Garantía de Derechos para apoyar los asuntos jurídicos y legales que requieran las actividades misionales de la Subsecretaría y sus dependencias adscritas.</t>
  </si>
  <si>
    <t>REALIZAR LA ADICION Y PRORROGA DEL CONTRATO 313 DE 2021 SUSCRITO ENTRE SECRETARIA DISTRITAL DE COBIERNO Y LINA ROSA DIAZ BAYONA</t>
  </si>
  <si>
    <t>REALIZAR LA ADICION Y PRORROGA DEL CONTRATO 589 DE 2021 SUSCRITO ENTRE SECRETARIA DISTRITAL DE GOBIERNO Y GUSTAVO ADOLFO GUZMAN MORA</t>
  </si>
  <si>
    <t>REALIZAR LA ADICION Y PRORROGA DEL CONTRATO 631 DE 2021 SUSCRITO ENTRE SECRETARIA DISTRITAL DE GOBIERNO Y LAURA ARCINIEGAS RESTREPO</t>
  </si>
  <si>
    <t>REALIZAR LA ADICION Y PRORROGA DEL CONTRATO 626 DE 2021 SUSCRITO ENTRE SECRETARIA DISTRITAL DE GOBIERNO Y ERIKA BEATRIZ CUBILLOS QUINTERO</t>
  </si>
  <si>
    <t>REALIZAR LA ADICIÓN Y PRORROGA DEL CONTRATO 645 DE 2021 SUSCRITO ENTRE LA SECRETARIA DISTRITAL DE GOBIERNO Y MARCEILI VIVIANA RIAÑO MARROQUI</t>
  </si>
  <si>
    <t>OSCAR IVAN MARQUEZ SALAZAR</t>
  </si>
  <si>
    <t>DANIEL FERNANDO TIQUE YARA</t>
  </si>
  <si>
    <t>LEIDY MARCELA ROJAS ESPITIA</t>
  </si>
  <si>
    <t>MANUELA  GOMEZ AVENDAÑO</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</si>
  <si>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</si>
  <si>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los servicios profesionales en la Dirección de Tecnologías e Información para realizar las actividades de automatización y desarrollo de proceso en la plataforma bpm bizagi.</t>
  </si>
  <si>
    <t>Solicitud CDP de ARL Dirección Administrativa mediante memorado 20214200075603  Pago de la planilla No. 53182849 para el pago de los aportes de los riesgos laborales del mes de agosto, de los contratistas con el riesgo V.</t>
  </si>
  <si>
    <t>PRESTAR LOS SERVICIOS PROFESIONALES BRINDANDO ACOMPAÑAMIENTO A LOS PROCESOS DE ESPACIOS COLABORATIVOS Y TRÁMITES A CARGO DE LA DIRECCIÓN DE GESTIÓN DE TALENTO HUMANO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</si>
  <si>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</si>
  <si>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REALIZAR LA ADICION Y PRORROGA DEL CONTRATO  142 DE 2021 SUSCRITO ENTRE LA SECRETARIA DISTRITAL DE GOBIERNO Y BRENDA VIVIANA JIMENEZ DIAZ.</t>
  </si>
  <si>
    <t>Asesorar a la Oficina de Comunicaciones en los procesos de contratación ,y apoyar en la supervisión para la implementación del Plan Estratégico ydemas procesos de planeación que requiera la dependencia con el fin de fortalecer la promoción y divulgación de las políticas, planes, programa y proyectos que lidera la entidad.</t>
  </si>
  <si>
    <t>Prestar servicios profesionales para la administración de la infraestructura y los servicios de la nube de oracle (Bases de datos, servidores de aplicaciones e IAS) y on premises implementados en la Secretaria Distrital de Gobierno.</t>
  </si>
  <si>
    <t>REALIZAR LA ADICION Y PRÓRROGA DEL CONTRATO 368 DE 2021 SUSCRITO ENTRE LA SECRETARIA DISTRITAL DE GOBIERNO Y PEDRO ALONSO GRATZ ESPINOSA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</si>
  <si>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los demás trámites administrativos y jurídicos de la dependencia</t>
  </si>
  <si>
    <t>REALIZAR LA ADICION Y PRÓRROGA DEL CONTRATO 234 DE 2021 SUSCRITO ENTRE LA SECRETARIA DISTRITAL DE GOBIERNO Y KARINA PAOLA GOMEZ BERNAL</t>
  </si>
  <si>
    <t>REALIZAR LA ADICION Y PRÓRROGA DEL CONTRATO 265 DE 2021 SUSCRITO ENTRE LA SECRETARIA DISTRITAL DE GOBIERNO Y MARIA LUSELIA TOLOZA MARTINEZ</t>
  </si>
  <si>
    <t>NICOLAS  PEÑA MORENO</t>
  </si>
  <si>
    <t>ALEJANDRA  AGUILAR ALBAÑIL</t>
  </si>
  <si>
    <t>DIANA VANESSA ACOSTA RAMOS</t>
  </si>
  <si>
    <t>GUILLERMO ANTONIO ARROYO ARGUMEDO</t>
  </si>
  <si>
    <t>MARIA CAMILA AREVALO MORALES</t>
  </si>
  <si>
    <t>Prestar servicios profesionales en la Subsecretaria de Gestión Local en el marco del fortalecimiento del Observatorio de Gestión Local a través de la puesta en marcha del Centro de Gobierno Local y sus componentes.</t>
  </si>
  <si>
    <t>Prestar los servicios profesionales a la Dirección para la Gestión del Desarrollo Local, en el desarrollo y planeación de los proyectos de inversión en el marco del sistema de gestión local.</t>
  </si>
  <si>
    <t>Prestar servicios profesionales para realizar el diseño, administración y desarrollos web necesarios en los aplicativos y diseños web de la entidad.</t>
  </si>
  <si>
    <t>Prestar los servicios profesionales a la Dirección para la Gestión del Desarrollo Local, en el apoyo técnico al desarrollo y planeación de los proyectos de inversión de los Fondos de Desarrollo Local FDL en el marco del Sistema de Gestión Local.</t>
  </si>
  <si>
    <t>Prestar los servicios de apoyo a la gestión de la Secretaría Distrital de  Gobierno asociado a las actividades de gestión documental y gestión de informacion en lo referente a la operación del Sistema Distrital  Bogotá Solidaria, en lo asociado a las competencias de la Secretaría  Distrital de Gobierno y en la articulación con otras entidades del  Sistema, así como al apoyo técnico en producción documental que se requiera en cumplimiento de las responsabilidades asignadas.</t>
  </si>
  <si>
    <t>Prestar servicios profesionales en la Subsecretaria de Gestión Local en el marco de la implementación de la estrategia de intervención y seguimiento en las alcaldías locales</t>
  </si>
  <si>
    <t>REALIZAR LA ADICION Y PRORROGA DEL CONTRATO No. 944 DE 2020 SUSCRITO POR LA SECRETARIA DISTRITAL DE GOBIERNO Y ORGANIZACIÓN DE ESTADOS IBEROAMERICANOS PARA LA EDUCACIÓN, LA CIENCIA Y LA CULTURA -OEI</t>
  </si>
  <si>
    <t>DEISSY MILENA HERRERA CAGUA</t>
  </si>
  <si>
    <t>JENNY CAROLINA CORTES CANTE</t>
  </si>
  <si>
    <t>ADRIANO  MORENO WEINSTEIN</t>
  </si>
  <si>
    <t>GERMAN CAMILO HERNANDEZ TRIVIÑO</t>
  </si>
  <si>
    <t>LAURA MILENA BALLEN VELASQUEZ</t>
  </si>
  <si>
    <t>JULIANA  MARTINEZ LONDOÑO</t>
  </si>
  <si>
    <t>SERGIO  GONZALEZ SANDOVAL</t>
  </si>
  <si>
    <t>ANGELA MARIA MORENO SALAZAR</t>
  </si>
  <si>
    <t>JAIME LAURENCE BONILLA MORALES</t>
  </si>
  <si>
    <t>LINA MARIA PINZON ESLAVA</t>
  </si>
  <si>
    <t>PRESTAR SERVICIOS DE APOYO PARA EL LEVANTAMIENTO TÉCNICO DE INVENTARIOS DOCUMENTALES EN LOS ARCHIVOS DE LA DIRECCIÓN DE DERECHOS HUMANOS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</si>
  <si>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LÍDERES, LIDERESAS, DEFENSORES Y DEFENSORAS DE DERECHOS HUMANOS, QUE DEMANDEN MEDIDAS DE PREVENCIÓN O PROTECCIÓN</t>
  </si>
  <si>
    <t>REALIZAR LA ADICION Y PRORROGA DEL CONTRATO 669 DE 2021 SUSCRITO ENTRE SECRETARIA DISTRITAL DE GOBIERNO Y SANDRA HELEANNE RIASCOS RIVAS</t>
  </si>
  <si>
    <t>REALIZAR LA ADICION Y PRORROGA DEL CONTRATO 694 DE 2021 SUSCRITO ENTRE SECRETARIA DISTRITAL DE GOBIERNO Y JOHN HENRY ARBOLEDA QUIÑONEZ</t>
  </si>
  <si>
    <t>RECLASIFICION DE ARL A RIESGO V A LOS CONTRATISTAS DE ACUERDO AL MEMORANDO 20212000180713  Pago de la planilla 53843248, pago de la arl del mes de septiembre de 2021, a los contratistas con riesgo V.</t>
  </si>
  <si>
    <t>REALIZAR LA ADICIÓN Y PRORROGA DEL CONTRATO 661 DE 2021 CELEBRADO ENTRE LA SECRETARÍA DISTRILA DE GOBIERNO Y ALEJANDRA GEMA PARRA CISTERNAS.</t>
  </si>
  <si>
    <t>REALIZAR LA ADICION Y PRORROGA DEL CONTRATO 667 DE 2021 SUSCRITO ENTRE SECRETARIA DISTRITAL DE GOBIERNO Y YORDIRLANDY PALECHOR SALAZAR</t>
  </si>
  <si>
    <t>REALIZAR LA ADICION Y PRORROGA DEL CONTRATO 852 DE 2021 SUSCRITO ENTRE SECRETARIA DISTRITAL DE GOBIERNO Y CINDY CECILIA CATAÑO CABALLERO</t>
  </si>
  <si>
    <t>REALIZAR LA ADICION Y PRORROGA DEL CONTRATO 853 DE 2021 SUSCRITO ENTRE SECRETARIA DISTRITAL DE GOBIERNO Y PABLO ANTONIO TUTA CUY</t>
  </si>
  <si>
    <t>Prestar servicios profesionales en la Subdirección de Asuntos de la Libertad Religiosa y de Conciencia para realizar la gestión de la implementación de la Política Pública Distrital de Libertades Fundamentales de Religión, Culto y Conciencia en los productos de la línea de investigación</t>
  </si>
  <si>
    <t>PRESTAR SERVICIOS PROFESIONALES EN LA DIRECCIÓN DE DERECHOS HUMANOS PARA APOYAR LA IMPLEMENTACIÓN DE LA ESTRATEGIA DE PREVENCIÓN DE VULNERACIONES A LOS DERECHOS A LA VIDA, LIBERTAD, INTEGRIDAD Y SEGURIDAD DE PERSONAS LGBTI, VICTIMAS DEL DELITO DE TRATA DE PERSONAS, LIDERES, LIDERESAS, DEFENSORES Y DEFENSORAS D DERECHOS HUMANOS QUE DEMANDEN MEDIDAS DE PREVENCIÓN O PROTECCIÓN</t>
  </si>
  <si>
    <t>Pago de servicios públicos de los inmuebles en donde se encuentran los espacios de atención diferenciada CONFIA y Casa Indígena  Pago del servicio de energía de Confía Candelaria, ubicado en la Calle 9 No. 4-70, periodo facturado del 26 de agosto al 27 de septiembre de 2021, según factura No. 651829639-5.</t>
  </si>
  <si>
    <t>Pago de servicios públicos de los inmuebles en donde se encuentran los espacios de atención diferenciada CONFIA y Casa Indígena.  Pago del servicio de aseo de Confía Candelaria, ubicado en la Calle 9 No. 4-70, periodo facturado del 02 de agosto al 09 de septiembre de 2021, según factura No. 651829639.</t>
  </si>
  <si>
    <t>Pago de servicios públicos de los inmuebles en donde se encuentran los espacios de atención diferenciada CONFIA y Casa Indígena  Pago del servicio de energía de Confía San Cristóbal, ubicado en la Carrera 3 No. 30 A sur - 06, periodo facturado del 03 de septiembre al 05 de octubre de 2021, según factura No. 652890459-7.</t>
  </si>
  <si>
    <t>Pago de servicios públicos de los inmuebles en donde se encuentran los espacios de atención diferenciada CONFIA y Casa Indígena  Pago del servicio de aseo de Confía San Cristóbal, ubicado en la Carrera 3 No. 30 A sur - 06, periodo facturado del 13 de agosto al 12 de septiembre de 2021, según factura No. 652890459.</t>
  </si>
  <si>
    <t>Pago de servicios públicos de los inmuebles en donde se encuentran los espacios de atención diferenciada CONFIA y Casa Indígena  Pago del servicio de energía de la casa Posa WIWA, ubicada en la Carrera 3 No. 10 - 72, periodo facturado del 25 de AGOSTO al 27 de SEPTIEMBRE de 2021, según factura No. 651829938-9.</t>
  </si>
  <si>
    <t>Pago de servicios públicos de los inmuebles en donde se encuentran los espacios de atención diferenciada CONFIA y Casa Indígena  Pago del servicio de aseo de la casa Posa WIWA, ubicada en la Carrera 3 No. 10 - 72, periodo facturado del 02 de AGOSTO al 01 de SEPTIEMBRE de 2021, según factura No. 651829938.</t>
  </si>
  <si>
    <t>Prestar servicios profesionales para el desarrollo en las fases del ciclo de las políticas públicas del Pueblo Étnico, Rom, Gitano y de la Población Raizal en Bogotá.</t>
  </si>
  <si>
    <t>PRESTAR SERVICIOS PROFESIONALES EN LA DIRECCIÓN DE DERECHOS HUMANOS PARA APOYAR LA IMPLEMENTACIÓN DEL ENFOQUE DE GÉNERO EN ACTIVIDADES MISIONALES Y ESTRATÉGICAS A CARGO DE LA DIRECCIÓN Y SUS DEPENDENCIAS</t>
  </si>
  <si>
    <t>Prestar los servicios profesionales para apoyar a la Subdirección de Asuntos Étnicos en la atención a las comunidades y pueblos étnicos del Distrito a través de los Espacios de Atención Diferenciada y la reformulación e implementación de las políticas públicas étnicas</t>
  </si>
  <si>
    <t>Pago de servicios públicos de los inmuebles en donde se encuentran los espacios de atención diferenciada CONFIA y Casa Indígena.  PAGO DEL SERVICIO DE ACUEDUCTO Y ALCANTARILLADO DE LA CASA DEL PENSAMIENTO INDIGENA, UBICADA EN LA CLL 9 No. 9-60, PERIODO FACTURADO DEL 27 DE JULIO AL 23 DE SEPTIEMBRE DE 2021, SEGÚN FACTUA No. 19849625314.</t>
  </si>
  <si>
    <t>1618</t>
  </si>
  <si>
    <t>1792</t>
  </si>
  <si>
    <t>1621</t>
  </si>
  <si>
    <t>1797</t>
  </si>
  <si>
    <t>1632</t>
  </si>
  <si>
    <t>1801</t>
  </si>
  <si>
    <t>1631</t>
  </si>
  <si>
    <t>1806</t>
  </si>
  <si>
    <t>1809</t>
  </si>
  <si>
    <t>1650</t>
  </si>
  <si>
    <t>1811</t>
  </si>
  <si>
    <t>1630</t>
  </si>
  <si>
    <t>1812</t>
  </si>
  <si>
    <t>1633</t>
  </si>
  <si>
    <t>1814</t>
  </si>
  <si>
    <t>1634</t>
  </si>
  <si>
    <t>1815</t>
  </si>
  <si>
    <t>1639</t>
  </si>
  <si>
    <t>1841</t>
  </si>
  <si>
    <t>1638</t>
  </si>
  <si>
    <t>1856</t>
  </si>
  <si>
    <t>1857</t>
  </si>
  <si>
    <t>1858</t>
  </si>
  <si>
    <t>1860</t>
  </si>
  <si>
    <t>1861</t>
  </si>
  <si>
    <t>1862</t>
  </si>
  <si>
    <t>1863</t>
  </si>
  <si>
    <t>1870</t>
  </si>
  <si>
    <t>1682</t>
  </si>
  <si>
    <t>1879</t>
  </si>
  <si>
    <t>1884</t>
  </si>
  <si>
    <t>1683</t>
  </si>
  <si>
    <t>1888</t>
  </si>
  <si>
    <t>1673</t>
  </si>
  <si>
    <t>1892</t>
  </si>
  <si>
    <t>1904</t>
  </si>
  <si>
    <t>1690</t>
  </si>
  <si>
    <t>1915</t>
  </si>
  <si>
    <t>53843248</t>
  </si>
  <si>
    <t>6518296395</t>
  </si>
  <si>
    <t>651829639</t>
  </si>
  <si>
    <t>652890459</t>
  </si>
  <si>
    <t>6518299389</t>
  </si>
  <si>
    <t>651829938</t>
  </si>
  <si>
    <t>19849625314</t>
  </si>
  <si>
    <t>REALIZAR LA ADICION Y PRÓRROGA DEL CONTRATO 686 DE 2021 SUSCRITO ENTRE LA SECRETARIA DISTRITAL DE GOBIERNO Y MIGUEL ANGEL PINTO RUEDA</t>
  </si>
  <si>
    <t>Pago de acreencias laborales a los ex servidores públicos de la Planta Temporal de Inversión CLAUDIA PATRICIA MOSQUERA PALACIOS Y WILSON ERNESTO LÓPEZ RICO.</t>
  </si>
  <si>
    <t>Pago de las cesantías a los ex servidores públicos de la Planta Temporal de Inversión CLAUDIA PATRICIA MOSQUERA PALACIOS Y WILSON ERNESTO LÓPEZ RICO.</t>
  </si>
  <si>
    <t>Pago de la autoliquidación de la nómina general de septiembre 2021 (Planta de Inversión)</t>
  </si>
  <si>
    <t>Pago de autoliquidación adicional por el ingreso de unos servidores públicos con posterioridad al cierre de la nómina de septiembre 2021. (Planta de Inversión)</t>
  </si>
  <si>
    <t>Prestar los servicios profesionales especializados en la documentación del proceso de transformación organizacional trabajo inteligente que se adelanta en la entidad, en los componentes de talento humano, tecnologías e información así mismo apoyar la definición de acciones de mejora, buenas prácticas&lt;(&gt;,&lt;)&gt; metodologías y herramientas para su implementación especialmente lo relacionado con la estrategia de descongestión de actuaciones de policía.</t>
  </si>
  <si>
    <t>Prestar los servicios profesionales de carácter jurídico a la Dirección para la Gestión Policiva de la Secretaría Distrital de Gobierno, en la caracterización de los expedientes activos que hacen parte del inventario físico de las Alcaldías Locales</t>
  </si>
  <si>
    <t>Prestar los servicios técnicos apoyando a la Dirección para la Gestión Policiva, en el acompañamiento, desarrollo e implementación de la preproducción&lt;(&gt;,&lt;)&gt; producción y posproducción en el componente técnico, logístico, sonoro, de musicalización de los eventos y actividades que requiera la DGP en el marco de la estrategia de prevención de comportamientos contrarios a la convivencia y las metas y competencias de la dirección</t>
  </si>
  <si>
    <t>Prestar los servicios profesionales para asesorar a la Dirección para la Gestión Policiva desde el componente comunicacional de las actividades de inspección, vigilancia y control, en los temas relacionados con actividades ambientales, bienestar y protección animal, así como de Cerros Orientales y Rio Bogotá.</t>
  </si>
  <si>
    <t>Prestar servicios profesionales a la gestión a la Dirección para la Gestión Policiva para la implementación de las acciones y lineamientos técnicos del programa de gestión documental y demás instrumentos técnicos de acuerdo con los lineamientos archivísticos de la SDG.</t>
  </si>
  <si>
    <t>Prestar los servicios profesionales de carácter jurídico a la Dirección para la Gestión Policiva de la Secretaría Distrital de Gobierno, en la caracterización de los expedientes activos que hacen parte del inventario físico de las Alcaldías Locales.</t>
  </si>
  <si>
    <t>PRESTAR SERVICIOS PROFESIONALES EN LA PROYECCIÓN, SEGUIMIENTO Y EJECUCIÓN DE LOS PROCESOS, PROCEDIMIENTOS Y ACTIVIDADES PRESUPUESTALES Y FINANCIERAS DE LA SECRETARÍA DISTRITAL DE GOBIERNO</t>
  </si>
  <si>
    <t>Prestar los servicios profesionales apoyando a la Dirección para la Gestión Policiva, en el acompañamiento, desarrollo e implementación de la preproducción, producción y posproducción en el componente sonoro, de musicalización y de cartografía digital que requiera la DGP en el marco de la estrategia de prevención de comportamientos contrarios a la convivencia y las metas y competencias de la dirección.</t>
  </si>
  <si>
    <t>Prestar los servicios profesionales apoyando a la Dirección para la Gestión Policiva, en el acompañamiento, desarrollo e implementación de la preproducción, producción y posproducción en el componente técnico y logístico de los eventos y actividades que requiera la DGP en el marco de la estrategia de prevención de comportamientos contrarios a la convivencia y las metas y competencias de la dirección</t>
  </si>
  <si>
    <t>Pago de la nómina general de octubre de 2021. Planta de Inversión</t>
  </si>
  <si>
    <t>Pago de cesantías a retirados en el mes de septiembre de la Planta de Inversión</t>
  </si>
  <si>
    <t>Prestar los servicios profesionales apoyando a la Dirección para la Gestión Policiva, en el acompañamiento, desarrollo e implementación de las estrategias de comunicación requeridas por la DGP en el marco de la estrategia de prevención de comportamientos contrarios a la convivencia y las metas y competencias de la dirección</t>
  </si>
  <si>
    <t>Prestación de servicios profesionales especializados en Secretaria Distrital de Gobierno en la estructuración y seguimiento de las estrategias en materia de tecnologías de información especialmente lo relacionado con descongestión de actuaciones de policía</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</si>
  <si>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</si>
  <si>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los servicios profesionales Secretaría Distrital de Gobierno brindando apoyo y soporte en asuntos de liquidaciones de salarios, prestaciones sociales y todos los temas relacionados con la gestión de nómina especialmente de la relacionada con la planta temporal.</t>
  </si>
  <si>
    <t>Prestar los servicios técnicos a la Secretaría Distrital de Gobierno brindando el apoyo requerido en asuntos de liquidaciones de salarios y prestaciones sociales relacionados con la gestión de nómina especialmente de la relacionada con la planta temporal</t>
  </si>
  <si>
    <t>Prestar los servicios profesionales a la Dirección para la Gestión Policiva para acompañar la formulación, implementación y desarrollo de la Estrategia para la Prevención de Comportamientos Contrarios a la Convivencia.</t>
  </si>
  <si>
    <t>Prestar los servicios profesionales como apoyo en la formulación, seguimiento y acompañamiento en la elaboración de planes y acciones de gestión del riesgo y temas ambientales establecidos en el plan de trabajo de la vigencia 2021 especialmente los relacionados con asuntos de gestión policiva.</t>
  </si>
  <si>
    <t>Prestar los servicios profesionales para realizar el acompañamiento a la reactivación segura y biosegura de actividades económicas, en el marco de las competencias de la Dirección para la Gestión Policiva y la articulación de actividades de inspección, vigilancia y control.</t>
  </si>
  <si>
    <t>Prestar sus servicios profesionales para brindar apoyo jurídico en los procesos precontractuales, contractuales y postcontractuales a cargo de la Dirección para la Gestión Policiva, de acuerdo con los lineamientos establecidos por la Secretaría Distrital de Gobierno.</t>
  </si>
  <si>
    <t>VALENTINA  OCHOA RESTREPO</t>
  </si>
  <si>
    <t>MARTHA VIVIANA BERNAL AMAYA</t>
  </si>
  <si>
    <t>YENNY MARITZA ORJUELA ROMERO</t>
  </si>
  <si>
    <t>DIEGO FERNANDO BUSTOS OROZCO</t>
  </si>
  <si>
    <t>CLAUDIA PATRICIA CALAO GONZALEZ</t>
  </si>
  <si>
    <t>GIOVANNA ELIZABETH PARRA CAHUEÑO</t>
  </si>
  <si>
    <t>JOSE LEONARDO MINORTA NIÑO</t>
  </si>
  <si>
    <t>HELMAN ALEXANDER GONZALEZ FONSECA</t>
  </si>
  <si>
    <t>LUZ CLAUDIA MEJIA SANTOS</t>
  </si>
  <si>
    <t>JULIAN DAVID RUIZ SALGADO</t>
  </si>
  <si>
    <t>ZULMA NATALIA SIERRA PINTO</t>
  </si>
  <si>
    <t>NILSON FABIAN ZAMORA MORENO</t>
  </si>
  <si>
    <t>KATHERINE FAISULY LEIVA UBILLUS</t>
  </si>
  <si>
    <t>DIEGO ANDRES PACHON OTERO</t>
  </si>
  <si>
    <t>MARIA KAMILA ROJAS MUÑOZ</t>
  </si>
  <si>
    <t>JOSE ALFREDO JIMENEZ MENDIETA</t>
  </si>
  <si>
    <t>DENNYS LORENA ESPEJO IZQUIERDO</t>
  </si>
  <si>
    <t>CARLOS ANDRES MORENO FIGUEREDO</t>
  </si>
  <si>
    <t>JUAN DAVID CUADROS GARZON</t>
  </si>
  <si>
    <t>UNION TEMPORAL TECNOLOGIA ORACLE EFICIEN TE</t>
  </si>
  <si>
    <t>JOEL ESTEBAN GARCIA VALENCIA</t>
  </si>
  <si>
    <t>MELISA ANDREA PEREZ TORRADO</t>
  </si>
  <si>
    <t>ANDREA PAOLA FIGUEROA MALDONADO</t>
  </si>
  <si>
    <t>CINDY BRILLITH BAUTISTA CARDENAS</t>
  </si>
  <si>
    <t>MELISA  SUAREZ HERREÑO</t>
  </si>
  <si>
    <t>HERNAN EMILIO MEJIA MOGOLLON</t>
  </si>
  <si>
    <t>CAMILA ANDREA CASTILLO BARRERA</t>
  </si>
  <si>
    <t>LUIS GABRIEL MARQUEZ UMAÑA</t>
  </si>
  <si>
    <t>MARIA MONICA BARRERA MORENO</t>
  </si>
  <si>
    <t>LEIDY ANDREA FEO MAHECHA</t>
  </si>
  <si>
    <t>MARCOS FIDEL HERNANDEZ VERGARA</t>
  </si>
  <si>
    <t>1598</t>
  </si>
  <si>
    <t>1793</t>
  </si>
  <si>
    <t>1810</t>
  </si>
  <si>
    <t>1658</t>
  </si>
  <si>
    <t>1816</t>
  </si>
  <si>
    <t>1659</t>
  </si>
  <si>
    <t>1817</t>
  </si>
  <si>
    <t>1664</t>
  </si>
  <si>
    <t>1824</t>
  </si>
  <si>
    <t>1825</t>
  </si>
  <si>
    <t>1636</t>
  </si>
  <si>
    <t>1846</t>
  </si>
  <si>
    <t>1648</t>
  </si>
  <si>
    <t>1847</t>
  </si>
  <si>
    <t>1668</t>
  </si>
  <si>
    <t>1848</t>
  </si>
  <si>
    <t>1651</t>
  </si>
  <si>
    <t>1849</t>
  </si>
  <si>
    <t>1645</t>
  </si>
  <si>
    <t>1850</t>
  </si>
  <si>
    <t>1608</t>
  </si>
  <si>
    <t>1852</t>
  </si>
  <si>
    <t>1647</t>
  </si>
  <si>
    <t>1854</t>
  </si>
  <si>
    <t>1662</t>
  </si>
  <si>
    <t>1864</t>
  </si>
  <si>
    <t>1641</t>
  </si>
  <si>
    <t>1867</t>
  </si>
  <si>
    <t>1686</t>
  </si>
  <si>
    <t>1869</t>
  </si>
  <si>
    <t>1640</t>
  </si>
  <si>
    <t>1872</t>
  </si>
  <si>
    <t>1674</t>
  </si>
  <si>
    <t>1874</t>
  </si>
  <si>
    <t>1642</t>
  </si>
  <si>
    <t>1876</t>
  </si>
  <si>
    <t>1881</t>
  </si>
  <si>
    <t>1698</t>
  </si>
  <si>
    <t>1882</t>
  </si>
  <si>
    <t>1700</t>
  </si>
  <si>
    <t>1883</t>
  </si>
  <si>
    <t>1885</t>
  </si>
  <si>
    <t>1688</t>
  </si>
  <si>
    <t>1886</t>
  </si>
  <si>
    <t>1669</t>
  </si>
  <si>
    <t>1887</t>
  </si>
  <si>
    <t>1670</t>
  </si>
  <si>
    <t>1889</t>
  </si>
  <si>
    <t>1704</t>
  </si>
  <si>
    <t>1894</t>
  </si>
  <si>
    <t>1693</t>
  </si>
  <si>
    <t>1895</t>
  </si>
  <si>
    <t>1352</t>
  </si>
  <si>
    <t>1897</t>
  </si>
  <si>
    <t>1898</t>
  </si>
  <si>
    <t>1903</t>
  </si>
  <si>
    <t>1712</t>
  </si>
  <si>
    <t>1907</t>
  </si>
  <si>
    <t>1706</t>
  </si>
  <si>
    <t>1908</t>
  </si>
  <si>
    <t>1715</t>
  </si>
  <si>
    <t>1909</t>
  </si>
  <si>
    <t>1713</t>
  </si>
  <si>
    <t>1910</t>
  </si>
  <si>
    <t>1707</t>
  </si>
  <si>
    <t>1914</t>
  </si>
  <si>
    <t>1709</t>
  </si>
  <si>
    <t>1917</t>
  </si>
  <si>
    <t>1708</t>
  </si>
  <si>
    <t>1921</t>
  </si>
  <si>
    <t>1710</t>
  </si>
  <si>
    <t>1922</t>
  </si>
  <si>
    <t>1714</t>
  </si>
  <si>
    <t>1926</t>
  </si>
  <si>
    <t>74</t>
  </si>
  <si>
    <t>76</t>
  </si>
  <si>
    <t>78</t>
  </si>
  <si>
    <t>79</t>
  </si>
  <si>
    <t>85</t>
  </si>
  <si>
    <t>86</t>
  </si>
  <si>
    <t>1331</t>
  </si>
  <si>
    <t>MARGIORI  GONZALEZ SIABATO</t>
  </si>
  <si>
    <t>MARCELA  AVILA ANDRADE</t>
  </si>
  <si>
    <t>RAUL ANDRES GUTIERREZ SANCHEZ</t>
  </si>
  <si>
    <t>JOSE ALEJANDRO SUAREZ RODRIGUEZ</t>
  </si>
  <si>
    <t>DAVID SANTIAGO ARANGO ANZOLA</t>
  </si>
  <si>
    <t>PEDRO JAVIER FORERO SEPULVEDA</t>
  </si>
  <si>
    <t>DIEGO ALEJANDRO GARAVITO MORA</t>
  </si>
  <si>
    <t>WILLY ANDRES RODRIGUEZ MONTOYA</t>
  </si>
  <si>
    <t>FABIAN ANDRES PEREZ URREGO</t>
  </si>
  <si>
    <t>OMAR ALEJANDRO FONSECA OVIEDO</t>
  </si>
  <si>
    <t>1791</t>
  </si>
  <si>
    <t>1799</t>
  </si>
  <si>
    <t>1807</t>
  </si>
  <si>
    <t>1610</t>
  </si>
  <si>
    <t>1855</t>
  </si>
  <si>
    <t>1654</t>
  </si>
  <si>
    <t>1865</t>
  </si>
  <si>
    <t>1652</t>
  </si>
  <si>
    <t>1866</t>
  </si>
  <si>
    <t>1687</t>
  </si>
  <si>
    <t>1890</t>
  </si>
  <si>
    <t>1692</t>
  </si>
  <si>
    <t>1891</t>
  </si>
  <si>
    <t>1702</t>
  </si>
  <si>
    <t>1893</t>
  </si>
  <si>
    <t>1724</t>
  </si>
  <si>
    <t>1911</t>
  </si>
  <si>
    <t>1723</t>
  </si>
  <si>
    <t>1913</t>
  </si>
  <si>
    <t>1916</t>
  </si>
  <si>
    <t>1918</t>
  </si>
  <si>
    <t>1920</t>
  </si>
  <si>
    <t>1924</t>
  </si>
  <si>
    <t>REALIZAR LA ADICION Y PRORROGA DEL CONTRATO 709 DE 2021 SUSCRITO ENTRE SECRETARIA DISTRITAL DE GOBIERNO Y FREDY OSWALDO IMBACHI RONCANCIO</t>
  </si>
  <si>
    <t>Prestar servicios profesionales para las gestiones de implementación y seguimiento técnico a mecanismos e instancias de participación ciudadana en el Distrito</t>
  </si>
  <si>
    <t>Solicitud CDP de ARL Dirección de Convivencia y Dialogo Social, mediante memorado 20213000005353.  Pago de la planilla 53843248, pago de la arl del mes de septiembre de 2021, a los contratistas con riesgo V.</t>
  </si>
  <si>
    <t>PRESTAR SERVICIOS DE APOYO A LA GESTION EN LA DIRECCIÓN DE CONVIVENCIA Y DIÁLOGO SOCIAL PARA APOYAR EL CORRECTO DESEMPEÑO MISIONAL DE LA DIRECCIÓN</t>
  </si>
  <si>
    <t>Prestar los servicios profesionales para el diseño y producción de piezas gráficas y audiovisuales para las plataformas digitales y demás medios internos y externos de la entidad</t>
  </si>
  <si>
    <t>Prestar servicios profesionales para el fortalecimiento técnico, seguimiento y acompañamiento en la implementación de acciones que corresponden al programa de diálogo social de la Dirección de Convivencia y Diálogo Social</t>
  </si>
  <si>
    <t>Prestar los servicios profesionales para apoyar jurídicamente a la Secretaría Distrital de Gobierno en la etapa de planeación procesos contractuales&lt;(&gt;,&lt;)&gt; gestiones y conceptos jurídicos propios de la dependencia que permitan el fortalecimiento de la Administración Distrital con las corporaciones públicas</t>
  </si>
  <si>
    <t>Prestar los servicios profesionales para el diseño y corrección de estilo de los documentos, informes, piezas gráficas y presentaciones que le sean solicitadas por la Secretaría Distrital de Gobierno, atendiendo los protocolos, instructivos y reglamentaciones que sobre la materia tenga adoptadas la Oficina Asesora de Comunicaciones</t>
  </si>
  <si>
    <t>Apoyar la realización y edición de los contenidos audiovisuales que se requieren en la Secretaría Distrital de Gobierno</t>
  </si>
  <si>
    <t>PRESTAR SERVICIOS PROFESIONALES PARA LA PROMOCIÓN DE LA SANA CONVIVENCIA EN EL FÚTBOL DENTRO Y FUERA DEL ESTADIO A TRAVÉS DEL PROGRAMA DE BARRISMO SOCIAL, ASISTIR LOS TEMAS RELACIONADOS CON LA CONVIVENCIA, DIALOGO SOCIAL Y PROTESTA</t>
  </si>
  <si>
    <t>Prestar servicio de apoyo a la gestión a los temas de carácter administrativo, de gestión y/u operativos requeridos en la plataforma de gobierno abierto, en el marco de la implementación de la estrategia de presupuestos participativos y gobierno abierto</t>
  </si>
  <si>
    <t>MARIA DEL CARMEN PRIETO CLAVIJO</t>
  </si>
  <si>
    <t>1701</t>
  </si>
  <si>
    <t>1906</t>
  </si>
  <si>
    <t>REALIZAR LA ADICION Y PRORROGA DEL CONTRATO 454 DE 2021 SUSCRITO ENTRE LA SECRETARIA DISTRITAL DE GOBIERNO Y CRISTHIAN ANDRES PARRADO RODRIGUEZ</t>
  </si>
  <si>
    <t>REALIZAR LA ADICIONY PRORROGA DEL CONTRATO 472 DE 2021 SUSCRITO ENTRE LA SECRETARIA DISTRITAL DE GOBIERNO Y MONICA PATRICIA CASTAÑEDA GOMEZ</t>
  </si>
  <si>
    <t>REALIZAR LA ADICIONY PRORROGA DEL CONTRATO 453 DE 2021 SUSCRITO ENTRE LA SECRETARIA DISTRITAL DE GOBIERNO Y STEPHANIE GIRE ZAMORA GUZMÁN</t>
  </si>
  <si>
    <t>REALIZAR LA ADICIONY PRORROGA DEL CONTRATO 452 DE 2021 SUSCRITO ENTRE LA SECRETARIA DISTRITAL DE GOBIERNO Y ANDERSON JULIAN ACEVEDO HERREÑO</t>
  </si>
  <si>
    <t>REALIZAR LA ADICION Y PRORROGA DEL CONTRATO 455 DE 2021 SUSCRITO ENTRE LA SECRETARIA DISTRITAL DE GOBIERNO Y CAMILA ANDREA BUSTOS OCAMPO</t>
  </si>
  <si>
    <t>REALIZAR LA ADICION Y PRORROGA DEL CONTRATO 464 DE 2021 SUSCRITO ENTRE LA SECRETARIA DISTRITAL DE GOBIERNO Y ANDREA PATRICIA ROBLES CALDERÓN</t>
  </si>
  <si>
    <t>REALIZAR LA ADICIONY PRORROGA DEL CONTRATO 456 DE 2021 SUSCRITO ENTRE LA SECRETARIA DISTRITAL DE GOBIERNO Y KAREN VANESA MARRINER CASTRO</t>
  </si>
  <si>
    <t>1656</t>
  </si>
  <si>
    <t>1818</t>
  </si>
  <si>
    <t>1660</t>
  </si>
  <si>
    <t>1819</t>
  </si>
  <si>
    <t>1655</t>
  </si>
  <si>
    <t>1820</t>
  </si>
  <si>
    <t>1649</t>
  </si>
  <si>
    <t>1821</t>
  </si>
  <si>
    <t>1657</t>
  </si>
  <si>
    <t>1822</t>
  </si>
  <si>
    <t>1671</t>
  </si>
  <si>
    <t>1833</t>
  </si>
  <si>
    <t>1672</t>
  </si>
  <si>
    <t>1840</t>
  </si>
  <si>
    <t>REALIZAR LA ADICION Y PRÓRROGA DEL CONTRATO 401 DE 2021 SUSCRITO ENTRE LA SECRETARIA DISTRITAL DE GOBIERNO Y YADIRA FERNANDA ARIAS ESPINOSA</t>
  </si>
  <si>
    <t>REALIZAR LA ADICIÓN Y PRORROGA DEL CONTRATO 674 DE 2021 SUSCRITO ENTRE LA SECRETARIA DISTRITAL DE GOBIERNO Y ERNESTO ALTURO MARTINEZ</t>
  </si>
  <si>
    <t>REALIZAR LA ADICIÓN Y PRORROGA DEL CONTRATO 678 DE 2021 SUSCRITO ENTRE LA SECRETARIA DISTRITAL DE GOBIERNO Y DANNA LUCIA QUINTERO CIFUENTES</t>
  </si>
  <si>
    <t>Solicitud CDP de ARL Dirección Administrativa mediante memorado 20214200075603  Pago de la planilla 53843248, pago de la arl del mes de septiembre de 2021, a los contratistas con riesgo V.</t>
  </si>
  <si>
    <t>REALIZAR LA ADICION Y PRORROGA DEL CONTRATO 665 DE 2021 SUSCRITO ENTRE LA SECRETARIA DISTRITAL DE GOBIERNO Y JESSIKA LORENA OSORIO RAMIREZ</t>
  </si>
  <si>
    <t>REALIZAR LA ADICION Y PRÓRROGA DEL CONTRATO 480 DE 2021 SUSCRITO ENTRE LA SECRETARIA DISTRITAL DE GOBIERNO Y MARIA CAMILA PEÑA RAMIREZ</t>
  </si>
  <si>
    <t>REALIZAR LA ADICION Y PRÓRROGA DEL CONTRATO 854 DE 2021 SUSCRITO ENTRE LA SECRETARIA DISTRITAL DE GOBIERNO Y SONIA ALEJANDRA VELASCO RODRIGUEZ</t>
  </si>
  <si>
    <t>Prestar servicios profesionales desde el área de Gestión y Patrimonio Documental de la de la Dirección Administrativa, para la elaboración de documentos e insumos técnicos necesarios en el marco de la implementación de un Sistema de Gestión de Documentos Electrónicos de Archivo SGDEA-, para la Secretaría Distrital de Gobierno SDG</t>
  </si>
  <si>
    <t>Prestar servicios profesionales para diseñar, socializar y mantener actualizados los protocolos de la Entidad, que permitan mitigar el riesgo por contagio  Covid-19, con el retorno gradual a la presencialidad  , siempre y cuando se cumpla con los parámetros establecidos por el Ministerio de Salud, Secretaría Distrital de Salud y demás entidades competentes.</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</si>
  <si>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los demás trámites administrativos y jurídicos de la dependencia.</t>
  </si>
  <si>
    <t>YADIRA FERNANDA ARIAS ESPINOSA</t>
  </si>
  <si>
    <t>LEONARDO ANTONIO BELLO PEREZ</t>
  </si>
  <si>
    <t>JOHANA  BETANCOURT DAZA</t>
  </si>
  <si>
    <t>DAVID ALEJANDRO GARZON CAICEDO</t>
  </si>
  <si>
    <t>GUISELA CRISTINA QUINTERO BARBOSA</t>
  </si>
  <si>
    <t>BRENDA KATHERINE GARZON GOMEZ</t>
  </si>
  <si>
    <t>1620</t>
  </si>
  <si>
    <t>1794</t>
  </si>
  <si>
    <t>1624</t>
  </si>
  <si>
    <t>1796</t>
  </si>
  <si>
    <t>1615</t>
  </si>
  <si>
    <t>1798</t>
  </si>
  <si>
    <t>1808</t>
  </si>
  <si>
    <t>1623</t>
  </si>
  <si>
    <t>1813</t>
  </si>
  <si>
    <t>1637</t>
  </si>
  <si>
    <t>1838</t>
  </si>
  <si>
    <t>1646</t>
  </si>
  <si>
    <t>1842</t>
  </si>
  <si>
    <t>1643</t>
  </si>
  <si>
    <t>1851</t>
  </si>
  <si>
    <t>1644</t>
  </si>
  <si>
    <t>1853</t>
  </si>
  <si>
    <t>1653</t>
  </si>
  <si>
    <t>1875</t>
  </si>
  <si>
    <t>1694</t>
  </si>
  <si>
    <t>1880</t>
  </si>
  <si>
    <t>1728</t>
  </si>
  <si>
    <t>1912</t>
  </si>
  <si>
    <t>1718</t>
  </si>
  <si>
    <t>1919</t>
  </si>
  <si>
    <t>1628</t>
  </si>
  <si>
    <t>1795</t>
  </si>
  <si>
    <t>1627</t>
  </si>
  <si>
    <t>1868</t>
  </si>
  <si>
    <t>1725</t>
  </si>
  <si>
    <t>1925</t>
  </si>
  <si>
    <t>Prestar los servicios profesionales a la Dirección para la Gestión del Desarrollo Local, en el apoyo técnico al desarrollo y planeación de los proyectos de inversión en el marco de asistencia técnica integral dirigida a los Fondos de Desarrollo Local FDL.</t>
  </si>
  <si>
    <t>REALIZAR LA ADICION Y PRÓRROGA DEL CONTRATO 523 DE 2021 SUSCRITO ENTRE LA SECRETARIA DISTRITAL DE GOBIERNO Y MAURICIO ORTIZ CORONADO</t>
  </si>
  <si>
    <t>LIZ DAHYAN FARFAN SANTANA</t>
  </si>
  <si>
    <t>DIEGO ALEJANDRO MARTINEZ GOMEZ</t>
  </si>
  <si>
    <t>1348</t>
  </si>
  <si>
    <t>PAGO ARL PARA RIESGO V PARA CONTRATOS VIGENTES</t>
  </si>
  <si>
    <t>Pago de servicios públicos de los inmuebles en donde se encuentran los espacios de atención diferenciada CONFIA y Casa Indígena  Pago del servicio de energía de la Casa del Pensamiento Indígena, ubicada en la calle 9 No. 9-60, periodo de facturación del 20 de septiembre al 21 de octubre de 2021, según facturas No. 654935972-3 $92.460 y 654935975-5 $40.770.</t>
  </si>
  <si>
    <t>Pago de servicios públicos de los inmuebles en donde se encuentran los espacios de atención diferenciada CONFIA y Casa Indígena  Pago del servicio de aseo de la Casa del Pensamiento Indígena, ubicada en la calle 9 No. 9-60, periodo de facturación del 28 de agosto al 27 de septiembre de 2021, según facturas No. 354935964, 654935965, 654935968, 654935969, 654935972, 654935970,  654935966, 654935963 y 654935967.</t>
  </si>
  <si>
    <t>PRESTAR SERVICIOS PROFESIONALES EN LA DIRECCIÓN DE DERECHOS HUMANOS PARA APOYAR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</si>
  <si>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para apoyar a la Subdirección de Asuntos Étnicos en la elaboración de un documento diagnóstico de investigación para el desarrollo de la línea de gobierno propio, donde se resalte la construcción de la memoria histórica estructural, arquitectónica y ambiental en el marco del cumplimiento de la meta de Plan de Vida de la comunidad indígena Muisca de Bosa, concertado en el proceso de consulta previa del Plan Parcial El Edén El Descanso</t>
  </si>
  <si>
    <t>Prestar servicios profesionales a la Subdirección de Asuntos Étnicos apoyando la elaboración de un documento diagnóstico de investigación de las situaciones económicas actuales con enfoque étnico diferencial para el desarrollo de la línea de justicia propia, en el marco del cumplimiento de la meta de Plan de Vida de la comunidad indígena Muisca de Bosa, concertado en el proceso de consulta previa del Plan Parcial El Edén El Descanso.</t>
  </si>
  <si>
    <t>Prestar servicios profesionales para apoyar a la Subdirección de Asuntos Étnicos en la elaboración de un documento diagnóstico de investigación para el desarrollo de la línea de justicia propia brindando acompañamiento técnico-social con enfoque diferencial, en el marco del cumplimiento de la meta de Plan de Vida de la comunidad indígena Muisca de Bosa, concertado en el proceso de consulta previa del Plan Parcial El Edén El Descanso</t>
  </si>
  <si>
    <t>Prestar servicios profesionales para apoyar jurídicamente a Subdirección de Asuntos Étnicos en la elaboración de un documento diagnóstico de investigación para el desarrollo de la línea de gobierno propio, en el marco del cumplimiento de la meta de Plan de Vida de la comunidad indígena Muisca de Bosa, concertado en el proceso de consulta previa del Plan Parcial El Edén El Descanso</t>
  </si>
  <si>
    <t>RECLASIFICION DE ARL A RIESGO V A LOS CONTRATISTAS DE ACUERDO AL MEMORANDO 20212000180713  PAGO DE LA ARL DEL MES DE OCTUBRE DE 2021, SEGÚN PLANILLA No. 54517685. DE LOS CONTRATISTAS CON RIESGO V.</t>
  </si>
  <si>
    <t>Pago de servicios públicos de los inmuebles en donde se encuentran los espacios de atención diferenciada CONFIA y Casa Indígena  Pago del servicio de energía de la Casa POSÁ WIWA, ubicada en la Carrera 3 No. 10-72, periodo facturado del 27 de septiembre al 26 de octubre de 2021, según factura No. 655471149-7.</t>
  </si>
  <si>
    <t>Pago de servicios públicos de los inmuebles en donde se encuentran los espacios de atención diferenciada CONFIA y Casa Indígena  Pago del servicio de aseo de la Casa POSÁ WIWA, ubicada en la Carrera 3 No. 10-72, periodo facturado del 02 de septiembre al 01 de octubre de 2021, según factura No. 655471149.</t>
  </si>
  <si>
    <t>Prestar servicios profesionales para apoyar el fortalecimiento de los procesos de investigación y memoria de la Comunidad Muisca de Bosa con el fin de consolidar lineamientos interculturales que permitan la construcción de un repositorio y diferentes sistemas de registro entre ellos los contables en el marco del cumplimiento de la meta de Plan de Vida de la comunidad indígena Muisca de Bosa, concertado en el proceso de consulta previa del Plan Parcial El Edén El Descanso.</t>
  </si>
  <si>
    <t>Prestar servicios profesionales por sus propios medios, con plena autonomía técnica y administrativa a la Subdirección de Asuntos Étnicos apoyando la elaboración de un documento diagnóstico de investigación para el desarrollo de la línea de justicia propia con un componente de planeación, organización&lt;(&gt;,&lt;)&gt; dirección y control comunitario, en el marco del cumplimiento de la meta de Plan de Vida de la comunidad indígena Muisca de Bosa, concertado en el proceso de consulta previa del Plan Parcial El Edén El Descanso</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</si>
  <si>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</si>
  <si>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los servicios de impresión, instalación, desinstalación de piezas gráficas, gran formato y demás productos para la divulgación de campañas y estrategias institucionales de la Secretaría Distrital de Gobierno</t>
  </si>
  <si>
    <t>Aunar esfuerzos técnicos, administrativos y financieros para constituir y regular un fondo de administración destinado a la profesionalización de líderes y lideresas como docentes del Programa de Educación Distrital en Derechos Humanos para la Paz y la Reconciliación -PEDHU-, el cual se denominará FONDO PARA LA FORMACIÓN EN ESPACIOS FORMALES EN DERECHOS HUMANOS</t>
  </si>
  <si>
    <t>Prestar servicios de apoyo a la gestión para la elaboración de un documento diagnóstico de investigación para el desarrollo de la línea de memoria brindando acompañamiento técnico, empoderando desde la administración de los recursos naturales la reconstrucción de la memoria y los saberes, en el marco del cumplimiento de la meta de Plan de Vida de la comunidad indígena Muisca de Bosa, concertado en el proceso de consulta previa del Plan Parcial El Edén El Descanso</t>
  </si>
  <si>
    <t>Pago de servicios públicos de los inmuebles en donde se encuentran los espacios de atención diferenciada CONFIA y Casa Indígena  Pago del servicio de energía de Confía San Cristóbal, ubicado en la Cra 3 No. 30 A sur - 06, periodo facturado del 05 de octubre al 04 de noviembre de 2021, según factura No. 656607051-5.</t>
  </si>
  <si>
    <t>Pago de servicios públicos de los inmuebles en donde se encuentran los espacios de atención diferenciada CONFIA y Casa Indígena  Pago del servicio de aseo de Confía San Cristóbal, ubicado en la Cra 3 No. 30 A sur - 06, periodo facturado del 13 de septiembre al 12 de octubre de 2021, según factura No. 656607051.</t>
  </si>
  <si>
    <t>Prestar los servicios profesionales en la Secretaria de Gobierno en el  acompañamiento técnico y metodológico para el seguimiento del proyecto de inversión en relación con de los derechos humanos en Bogotá.#</t>
  </si>
  <si>
    <t>Pago de servicios públicos de los inmuebles en donde se encuentran los espacios de atención diferenciada CONFIA y Casa Indígena  Pago del servicio de acueducto y alcantarillado de confía Candelaria, ubicado en la Calle 9 No. 4-70, periodo facturado 29 de julio al 25 de septiembre de 2021, según factura No. 38425612413.</t>
  </si>
  <si>
    <t>Pago de servicios públicos de los inmuebles en donde se encuentran los espacios de atención diferenciada CONFIA y Casa Indígena.  Pago del servicio de energía de Confía Candelaria, ubicado en la Calle 9 No. 4-70, periodo facturado 27 de septiembre al 26 de octubre de 2021, según factura No. 6554708500.</t>
  </si>
  <si>
    <t>Prestar servicios de apoyo a la gestión en la Subdirección de Asuntos Étnicos para realizar las gestiones administrativas y de asistencia a la ciudadanía en los espacios de atención diferencial para comunidades étnicas del Distrito</t>
  </si>
  <si>
    <t>FERNANDO ALEXANDER SANMIGUEL MARTINEZ</t>
  </si>
  <si>
    <t>RICARDO  NEUTA NEUTA</t>
  </si>
  <si>
    <t>JAVIER EDUARDO GARIBELLO FRADE</t>
  </si>
  <si>
    <t>JUAN RICARDO GONZALEZ TUNJO</t>
  </si>
  <si>
    <t>ELIZABETH  GONZALEZ GONZALEZ</t>
  </si>
  <si>
    <t>LIDA ALEXANDRA CUBILLOS MENDOZA</t>
  </si>
  <si>
    <t>NYDIA JOHANNA BELLO QUINTANA</t>
  </si>
  <si>
    <t>FABIAN ANDRES TUNJO COBOS</t>
  </si>
  <si>
    <t>MABEL EDILSA BERNAL ORTIZ</t>
  </si>
  <si>
    <t>NILTON CESAR SALAS PEREZ</t>
  </si>
  <si>
    <t>ONE WORK SHOP S A S</t>
  </si>
  <si>
    <t>IVONNE ALEJANDRA RODRIGUEZ NUMPAQUE</t>
  </si>
  <si>
    <t>ICETEX</t>
  </si>
  <si>
    <t>ANGIE LUCIA FITATA FIGUEROA</t>
  </si>
  <si>
    <t>SERGIO ANDRES PALACIOS MORENO</t>
  </si>
  <si>
    <t>EMIR  CARPIO LUVIEZA</t>
  </si>
  <si>
    <t>YULY ANDREA NIVIAYO CASTRO</t>
  </si>
  <si>
    <t>JEIMMY CAROLINA HERNANDEZ MARTIN</t>
  </si>
  <si>
    <t>MICHAEL BRAYAN PINILLA COY</t>
  </si>
  <si>
    <t>CRISTHIAN ALBERTO MATIZ GARZON</t>
  </si>
  <si>
    <t>HECTOR JULIO RAMOS PRIETO</t>
  </si>
  <si>
    <t>LEIDY LILIANA OROZCO CETINA</t>
  </si>
  <si>
    <t>ALONSO  REYES CUEVAS</t>
  </si>
  <si>
    <t>INFOTIC S A</t>
  </si>
  <si>
    <t>ANDREA STEPHANIE DAVILA CLARO</t>
  </si>
  <si>
    <t>ANGELICA MARIA GOMEZ COGOLLO</t>
  </si>
  <si>
    <t>TATIANA CECILIA MESA SALAMANCA</t>
  </si>
  <si>
    <t>LAURA NATALIA FRANCO CUESTA</t>
  </si>
  <si>
    <t>SHIRLEY VIVIANA NOGUERA CHAPARRO</t>
  </si>
  <si>
    <t>BARNARD STITH BEJARANO RENGIFO</t>
  </si>
  <si>
    <t>HELEN MAYUE BARRETO ORDOÑEZ</t>
  </si>
  <si>
    <t>MAYRA ALEJANDRA FLOREZ ORTIZ</t>
  </si>
  <si>
    <t>SANDRA LILIANA QUINTERO OVIEDO</t>
  </si>
  <si>
    <t>PRESTAR SERVICIOS PROFESIONALES PARA LA SECRETARÍA DE GOBIERNO EN LA PROYECCIÓN, SEGUIMIENTO Y EJECUCIÓN DE LOS PROCESOS, PROCEDIMIENTOS, ACTIVIDADES CONTABLES, APOYO A LA CONSOLIDACIÓN Y REVISIÓN DEL BALANCE.</t>
  </si>
  <si>
    <t>Prestar los servicios profesionales a la Dirección para la Gestión  Policiva, para brindar soporte tecnico, mantenimiento y realizar  la administración de los  sitemas de información, bases de datos y repositorios de la DGP.</t>
  </si>
  <si>
    <t>Apoyar la grabación y edición de los contenidos audiovisuales que se requieren en la Secretaría Distrital de Gobierno</t>
  </si>
  <si>
    <t>REALIZAR LA ADICIÓN Y PRORROGA DEL CONTRATO 346 DE 2021 SUSCRITO ENTRE SECRETARIA DISTRITAL DE GOBIERNO Y JAVIER DARIO TUBERQUIA MARTINEZ</t>
  </si>
  <si>
    <t>PRESTAR APOYO A LA GESTIÓN EN LOS ASUNTOS QUE REQUIERAN LOS PROCESOS MISIONALES Y ADMINISTRATIVOS DE LA DEPENDENCIA.</t>
  </si>
  <si>
    <t>Prestar servicios profesionales especializados para el seguimiento estratégico de los proyectos de ley de interés de la Secretaría de gobierno&lt;(&gt;,&lt;)&gt; especialmente los tendientes al fortalecimiento de la gestión policiva</t>
  </si>
  <si>
    <t>REALIZAR LA ADICION DEL CONTRATO 266 DE 2021 SUSCRITO ENTRE SECRETARIA DISTRITAL DE GOBIERNO Y MANUEL JOSE MEDINA MENDOZA</t>
  </si>
  <si>
    <t>Realizar la adición y prórroga del contrato número 771 de 2021 suscrito entre la Secretaría Distrital de Gobierno y Christian Gamaliel Abarzua Hernandez.</t>
  </si>
  <si>
    <t>Pago de la autoliquidación de la nómina general de octubre 2021. (Planta de Inversión).</t>
  </si>
  <si>
    <t>Pago de autoliquidación adicional por el ingreso de unos funcionarios con posterioridad al cierre de la nómina de octubre de 2021. (Planta de Inversión).</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</si>
  <si>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</si>
  <si>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Prestar servicios profesionales especializados a la Subsecretaría de Gestión Local para la planeación e implementación de las estrategias de comunicación que se lideren desde la dependencia, especialmente las relacionadas con el fomento de la cultura ciudadana.</t>
  </si>
  <si>
    <t>PRESTAR LOS SERVICIOS PROFESIONALES EN LA GESTIÓN CONTRACTUAL QUE ADELANTE LA SECRETARÍA DISTRITAL DE GOBIERNO</t>
  </si>
  <si>
    <t>PRESTAR SERVICIOS PROFESIONALES ESPECIALIZADOS PARA LLEVAR A CABO LA REVISIÓN JURÍDICA DE LOS ASUNTOS PRECONTRACTUALES, CONTRACTUALES O POSCONTRACTUALES QUE SE REQUIERAN.</t>
  </si>
  <si>
    <t>Pago de la nómina general de noviembre de 2021. (Planta de Inversión).</t>
  </si>
  <si>
    <t>Pago de cesantías a unos funcionarios retirados en el mes de octubre de 2021. . (Planta de Inversión).</t>
  </si>
  <si>
    <t>Prestar los servicios profesionales a la Secretaría Distrital de Gobierno para llevar a cabo la construcción, soporte, actualización y mantenimiento del de los sistemas de información que se requieran bajo arquitectura de desarrollo Java y base de datos Oracle</t>
  </si>
  <si>
    <t>Prestar servicios profesionales a la Secretaría Distrital de Gobierno para el diseño, planeación y ejecución de planes, estrategias y programas que pretendan el acercamiento a la ciudadanía y el fortalecimiento de la convivencia en el Distrito Capital</t>
  </si>
  <si>
    <t>REALIZAR ADICIÓN Y PRÓRROGA DEL CONTRATO 275 DE 2021 SUSCRITO ENTRE SECRETARIA DISTRITAL DE GOBIERNO Y MARCO ANDRES OLAYA BUITRAGO</t>
  </si>
  <si>
    <t>REALIZAR ADICIÓN Y PRÓRROGA DEL CONTRATO 263 DE 2021 SUSCRITO ENTRE SECRETARIA DISTRITAL DE GOBIERNO Y ÉRIKA MARÍA MARTÍNEZ LEÓN</t>
  </si>
  <si>
    <t>Prestar servicios de apoyo a la gestión a la Secretaría Distrital de Gobierno para apoyar el diseño, planeación y ejecución de planes, estrategias y programas que pretendan el acercamiento a la ciudadanía y el fortalecimiento de la convivencia en el Distrito Capital</t>
  </si>
  <si>
    <t>Prestar servicios profesionales especializados a la Secretaría Distrital de Gobierno para el diseño, planeación y ejecución de planes, estrategias y programas que pretendan el acercamiento a la ciudadanía y el fortalecimiento de la convivencia en el Distrito Capital</t>
  </si>
  <si>
    <t>REALIZAR ADICION Y PRORROGA DEL CONTRATO 262 DE 2021 SUSCRITO ENTRE SECRETARIA DISTRITAL DE GOBIERNO Y ABRAHAM ANTONIO MELO POVEDA</t>
  </si>
  <si>
    <t>PRESTACIÓN DE SERVICIOS PROFESIONALES PARA APOYAR CON EL CONCEPTO TECNICO, MONITOREO, CONTROL, VERIFICACIÓN Y SUPERVISIÓN DE LA INFRAESTRUCTURA DE LA SECRETARIA DISTRITAL DE GOBIERNO Y LOS PREDIOS A CARGO DE LA ENTIDAD.</t>
  </si>
  <si>
    <t>Prestar los servicios profesionales para apoyar los procesos relacionados con la gestión y concepto de Nómina de la Secretaría Distrital de Gobierno en la planta temporal de la entidad</t>
  </si>
  <si>
    <t>PRESTAR LOS SERVICIOS PROFESIONALES PARA DESARROLLAR ACTIVIDADES RELACIONADAS CON EL PROCESO DE ESTRUCTURACIÓN&lt;(&gt;,&lt;)&gt; EVALUACIÓN E IMPLEMENTACIÓN DEL SMART WORKING EN LA SECRETARIA DISTRITAL DE GOBIERNO</t>
  </si>
  <si>
    <t>LAURA ROCIO GONZALEZ MONGUI</t>
  </si>
  <si>
    <t>DIEGO ALEXANDER GUTIERREZ BALLEN</t>
  </si>
  <si>
    <t>CARLOS JOSE RODRIGUEZ VILLAMIZAR</t>
  </si>
  <si>
    <t>SANDRA PATRICIA MENDOZA GRANJA</t>
  </si>
  <si>
    <t>HAMIXON  LEAL CHILATRA</t>
  </si>
  <si>
    <t>KATHERINE GISELL BUITRAGO FORERO</t>
  </si>
  <si>
    <t>DIEGO FERNANDO MONSALVE PICO</t>
  </si>
  <si>
    <t>CESAR ANDRES ANDRADE OCAMPO</t>
  </si>
  <si>
    <t>JENNY KATHERINE BARRERO ROMERO</t>
  </si>
  <si>
    <t>DAVID FABIAN CIFUENTES TELLEZ</t>
  </si>
  <si>
    <t>OLGA LUCIA BOHORQUEZ DUQUE</t>
  </si>
  <si>
    <t>LEIDY TATIANA RESTREPO IDARRAGA</t>
  </si>
  <si>
    <t>MARTHA INES DEL RIO BETANCUR</t>
  </si>
  <si>
    <t>ALFONSO  GARCIA MANASSE</t>
  </si>
  <si>
    <t>SERSUGEN S A S</t>
  </si>
  <si>
    <t>PANORAMMA DISEÑO DE SOLUCIONES SAS</t>
  </si>
  <si>
    <t>BON SANTE SAS</t>
  </si>
  <si>
    <t>Prestar los servicios profesionales para la implementación de acciones en el manejo de relaciones con los actores políticos, económicos y sociales para la formulación de acciones encaminadas a atender trámites de los asuntos normativos que surjan de las relaciones de la Secretaría Distrital de Gobierno con el Concejo de Bogotá</t>
  </si>
  <si>
    <t>PRESTAR SERVICIOS PROFESIONALES ESPECIALIZADOS EN LA SUBSECRETARÍA PARA LA GOBERNABILIDAD Y GARANTÍA DE DERECHOS PARA APOYAR LOS TEMAS JURÍDICOS DE LA SUBSECRETARÍA EN EL MARCO DEL MODELO DE GESTIÓN DE LA ENTIDAD</t>
  </si>
  <si>
    <t>Prestar los servicios profesionales para apoyar la consolidación de reportes relacionados con el seguimiento periódico a las sesiones de las comisiones realizadas por las corporaciones de elección popular, de conformidad con las metas establecidas en el en el Plan Distrital de Desarrollo 2020 - 2024</t>
  </si>
  <si>
    <t>PRESTAR SERVICIOS PROFESIONALES ESPECIALIZADOS PARA LA DIRECCIÓN DE CONVIVENCIA Y DIÁLOGO SOCIAL EN LA IMPLEMENTACIÓN DE LA LINEA DE FORTALECIMIENTO TÉCNICO DEL PROGRAMA DE BARRISMO SOCIAL GOLES EN PAZ 2.0. Y LOS DEMÁS TEMAS RELACIONADOS.</t>
  </si>
  <si>
    <t>PRESTAR LOS SERVICIOS PROFESIONALES AL DESPACHO DE LA SECRETARIA DE GOBIERNO CON EL FIN DE APOYAR JURÍDICAMENTE LOS TRÁMITES Y SERVICIOS PARA LA GESTIÓN REQUERIDOS</t>
  </si>
  <si>
    <t>PRESTAR SERVICIOS DE APOYO A LA GESTIÓN EN LA SUBSECRETARÍA PARA LA GOBERNABILIDAD Y GARANTÍA DE DERECHOS EN LAS ACTIVIDADES DE CARÁCTER ADMINISTRATIVO EN EL MARCO DE LA IMPLEMENTACIÓN Y SEGUIMIENTO DE LOS PROCESOS DE APOYO Y MISIONALES A CARGO DE LA DEPENDENCIA</t>
  </si>
  <si>
    <t>Prestar servicios profesionales para coordinar las estrategias digitales de la Secretaria Distrital de Gobierno que permitan dar a conocer los programas y proyectos que se adelantan en beneficio de la ciudadanía.</t>
  </si>
  <si>
    <t>Prestar servicios profesionales a la Subsecretaría para la Gobernabilidad y Garantía de Derechos para apoyar la puesta en marcha del Observatorio de Conflictividad Social y Derechos Humanos en el acompañamiento, asesoría jurídica y técnica a ciudadanos atendidos en el marco de la ruta de atención de presuntos casos de abuso autoridad.</t>
  </si>
  <si>
    <t>Prestar los servicios profesionales a la Secretaría Distrital de Gobierno para la gestión de las relaciones públicas y apoyar los trámites y servicios a cargo del Despacho del Secretario Distrital de Gobierno</t>
  </si>
  <si>
    <t>Prestar servicios profesionales especializados para la gestión de temas estratégicos asociados a la Secretaría Distrital de Gobierno</t>
  </si>
  <si>
    <t>Prestar servicios profesionales de asesoría, gestión y asistencia técnica en el tratamiento jurídico de los asuntos de naturaleza electoral que se encuentren en trámite o se promuevan como consecuencia del ejercicio de los mecanismos de participación democrática y el ejercicio de derechos políticos</t>
  </si>
  <si>
    <t>Prestar servicios profesionales especializados para apoyar el seguimiento y asesoramiento jurídico a los diversos procesos, estrategias y proyectos de participación ciudadana que así lo requiera la Secretaría Distrital de Gobierno.</t>
  </si>
  <si>
    <t>ADQUISICIÓN DE ELEMENTOS PARA LA IMPLEMENTACIÓN DEL PROTOCOLO DE BIOSEGURIDAD PARA LAS ELECCIONES DE LOS CONSEJOS LOCALES DE JUVENTUD.</t>
  </si>
  <si>
    <t>REALIZAR ADICION Y PRORROGA NO. 2 DEL CONTRATO 464 DE 2021 SUSCRITO ENTRE SECRETARIA DISTRITAL DE GOBIERNO Y ANDREA PATRICIA ROBLES CALDERÓN</t>
  </si>
  <si>
    <t>REALIZAR ADICION Y PRORROGA NO. 2 DEL CONTRATO 456 DE 2021 SUSCRITO ENTRE SECRETARIA DISTRITAL DE GOBIERNO Y KAREN VANESA MARRINER CASTRO</t>
  </si>
  <si>
    <t>REALIZAR ADICION Y PRORROGA DEL CONTRATO 294 DE 2021 SUSCRITO ENTRE SECRETARIA DISTRITAL DE GOBIERNO Y JORGE EDUARDO GARCIA PERALTA</t>
  </si>
  <si>
    <t>GRACE DEL CARMEN MORALES CUETO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</si>
  <si>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</si>
  <si>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Solicitud CDP de ARL Dirección Administrativa mediante memorado 20214200075603.  PAGO DE LA ARL DEL MES DE OCTUBRE DE 2021, SEGÚN PLANILLA No. 54517685. DE LOS CONTRATISTAS CON RIESGO V.</t>
  </si>
  <si>
    <t>Realizar la adición y prórroga del contrato número 92 de 2021 suscrito entre la Secretaría Distrital de Gobierno y Juan Camilo Ariza Vergara</t>
  </si>
  <si>
    <t>REALIZAR ADICION Y PRORROGA DEL CONTRATO 116 DE 2021 SUSCRITO ENTRE SECRETARIA DISTRITAL DE GOBIERNO Y ANGELA LILIANA GALVEZ MORENO</t>
  </si>
  <si>
    <t>Prestar los servicios profesionales a la Dirección para la Gestión del Desarrollo Local, en el apoyo y seguimiento contractual de los proyectos de inversión en el marco de asistencia técnica integral dirigida a los Fondos de Desarrollo Local FDL.</t>
  </si>
  <si>
    <t>DIEGO EDISON TIUZO GARCIA</t>
  </si>
  <si>
    <t>NOVIEMBRE</t>
  </si>
  <si>
    <t>DICIEMBRE</t>
  </si>
  <si>
    <t>DAVID RICARDO DUARTE CASTILLA</t>
  </si>
  <si>
    <t>ANGELA JOHANA PATI¿¿O QUIROGA</t>
  </si>
  <si>
    <t>UNION TEMPORAL ACOBIG</t>
  </si>
  <si>
    <t>LEONARDO FABIO SOTO BRACAMONTE</t>
  </si>
  <si>
    <t>Pago de servicios públicos de los inmuebles en donde se encuentran los espacios de atención diferenciada CONFIA y Casa Indígena  Pago del servicio de energía de la Casa del Pensamiento ubicada en la Calle 9 No. 9-60 AP 600, periodo facturado 21 de octubre al 22 de noviembre de 2021, según facturas 658592002-3 y 6585925005-5.</t>
  </si>
  <si>
    <t>Pago de servicios públicos de los inmuebles en donde se encuentran los espacios de atención diferenciada CONFIA y Casa Indígena  Pago del servicio de aseo de la Casa del Pensamiento, ubicada en la Calle 9 No. 9-60 AP 600, periodo facturado del 28 de septiembre al 27 de octubre de 2021, según facturas 658592002, 658592005, 658591995, 658591994, 658591993, 658591997, 658591999, 658591998, 658591996 y 658592000.</t>
  </si>
  <si>
    <t>Prestar servicios profesionales para la reformulación de las políticas públicas étnicas que permitan la articulación entre el Plan de Acción Distrital -PAD de Victimas y los Planes Integrales de Acciones Afirmativas -PIIA</t>
  </si>
  <si>
    <t>Pago de servicios públicos de los inmuebles en donde se encuentran los espacios de atención diferenciada CONFIA y Casa Indígena.  Pago del servicio de acueducto y alcantarillado de Confia San Cristobal, ubicado en la Calle 11 No. 8-17, periodo facturado 25 de agosto al 23 de octubre de 2021, según factura No. 39103039010 y cuenta contrato 000011443242.</t>
  </si>
  <si>
    <t>PRESTAR SERVICIOS PROFESIONALES EN LA DIRECCIÓN DE DERECHOS HUMANOS PARA APOYAR EL SEGUIMIENTO DE LA POLÍTICA PÚBLICA INTEGRAL DE DERECHOS HUMANOS, EL SISTEMA DISTRITAL DE DERECHOS HUMANOS Y LA FORMULACIÓN DE LA POLÍTICA PÚBLICA PARA LA LUCHA CONTRA LA TRATA DE PERSONAS</t>
  </si>
  <si>
    <t>Pago de servicios públicos de los inmuebles en donde se encuentran los espacios de atención diferenciada CONFIA y Casa Indígena  Pago del servicio de energía de la Casa Posá Wiwa, ubicada en la Carrera 3 No. 10-72, periodo facturado del 26 de octubre al 26 de noviembre de 2021, según factura No. 659126282-2,</t>
  </si>
  <si>
    <t>Pago de servicios públicos de los inmuebles en donde se encuentran los espacios de atención diferenciada CONFIA y Casa Indígena  Pago del servicio de aseo de la Casa Posá Wiwa, ubicada en la Carrera 3 No. 10-72, periodo facturado del 02 de octubre al 01 de noviembre de 2021, según factura No. 659126282.</t>
  </si>
  <si>
    <t>PAGO DE PASIVO EXIGIBLE POR VALOR DE $2.531.625 TENIENDO EN CUENTA LA RESOLUCIÓN 1185 DE 2021</t>
  </si>
  <si>
    <t>PAGO DE PASIVO EXIGIBLE POR VALOR DE $3.021.000 TENIENDO EN CUENTA LA RESOLUCIÓN 1184 DE 2021</t>
  </si>
  <si>
    <t>Pago de servicios públicos de los inmuebles en donde se encuentran los espacios de atención diferenciada CONFIA y Casa Indígena  Pago del servicio de aseo de Confía San Cristobal, ubicado en la Cra 3 No 3A sur - 06, periodo facturado del 13 de octubre al 12 de noviembre de 2021, según factura No. 660262236.</t>
  </si>
  <si>
    <t>Pago de servicios públicos de los inmuebles en donde se encuentran los espacios de atención diferenciada CONFIA y Casa Indígena  Pago del servicio de energia de Confía San Cristobal, ubicado en la Cra 3 No 3A sur - 06, periodo facturado del 04 de noviembre al 06 de diciembre de 2021, según factura No. 660262236-0.</t>
  </si>
  <si>
    <t>RECLASIFICION DE ARL A RIESGO V A LOS CONTRATISTAS DE ACUERDO AL MEMORANDO 20212000180713</t>
  </si>
  <si>
    <t>GENERACIÓN DE CDP PARA EL PAGO DE ARL DE CONTRATISTAS DE LA DIRECCIÓN DE DERECHOS HUMANOS Y DIRECCIÓN DE CONVIVENCIA Y DIÁLOGO SOCIAL</t>
  </si>
  <si>
    <t>Pago de servicios públicos de los inmuebles en donde se encuentran los espacios de atención diferenciada CONFIA y Casa Indígena  PAGO DEL SERVICIO DE ACUEDUCTO DE LA CASA DEL PENSAMIENTO INDIGENA, UBICADA EN LA CL 9 9 - 60, PERIODO FACTURADO 24 DE SETIEMBRE AL 22 DE NOVIEMBRE DE 2021, SEGÚN FACTURA No. 19157047416</t>
  </si>
  <si>
    <t>GENERACIÓN DE CDP PARA EL PAGO DE ARL DE CONTRATISTAS DE LA DIRECCIÓN DE DERECHOS HUMANOS Y DIRECCIÓN DE CONVIVENCIA Y DIÁLOGO SOCIAL  PAGO DE LA ARL DEL MES DE DICIEMBRE DE 2021 # 55687866 DE LOS RIESGOS DE LOS FUNCIONARIOS DE LA SECRETARIA.</t>
  </si>
  <si>
    <t>REALIZAR LA ADICION Y PRORROGA DEL CONTRATO 976 DE 2021 SUSCRITO ENTRE SECRETARIA DISTRITAL DE GOBIERNO Y KAREN VIVIANA ROMERO PALOMINO</t>
  </si>
  <si>
    <t>JENNY PAOLA LAGOS DIAZ</t>
  </si>
  <si>
    <t>MILTON RICARDO CASAS IREGUI</t>
  </si>
  <si>
    <t>DANNA SALOME MARTINEZ RAMIREZ</t>
  </si>
  <si>
    <t>KATHERINNE ALEXANDRA RIAÑO OVALLE</t>
  </si>
  <si>
    <t>EPYCA CONSULTORES S.A.S.</t>
  </si>
  <si>
    <t>SOLINOFF CORPORATION SAS</t>
  </si>
  <si>
    <t>7 M GROUP S.A.</t>
  </si>
  <si>
    <t>Pago de la autoliquidación de la nómina general de noviembre 2021. (Planta de Inversión).</t>
  </si>
  <si>
    <t>Pago de la nómina general de diciembre 2021. (Planta de Inversión)</t>
  </si>
  <si>
    <t>Pago de cesantías a un funcionario retirado de la Planta Temporal de Inversión</t>
  </si>
  <si>
    <t>Pago de autoliquidación adicional por el ingreso de unos servidores públicos con posterioridad al cierre de la nómina de noviembre 2021. (planta de Inversión).</t>
  </si>
  <si>
    <t>REALIZAR LA ADICIÓN DEL CONTRATO No. 761 DE 2021 SUSCRITO POR LA SECRETARIA DISTRITAL DE GOBIERNO Y UT UNIDAD 2021</t>
  </si>
  <si>
    <t>Prestar servicios profesionales en la Subsecretaria de Gestión Local para el acompañamiento de los planes, programas y estrategias que favorezcan la convivencia en la ciudad.</t>
  </si>
  <si>
    <t>PRESTAR LOS SERVICIOS PROFESIONALES ESPECIALIZADOS PARA APOYAR JURÍDICAMENTE LOS ASUNTOS DE COMPETENCIA DE SECRETARIA DISTRITAL DE GOBIERNO EN MATERIA ADMINISTRATIVA, Y CONTRACTUAL</t>
  </si>
  <si>
    <t>PRESTAR SERVICIOS PROFESIONALES ESPECIALIZADOS PARA EL SEGUIMIENTO FINANCIERO, CONTABLE Y PRESUPUESTAL DE LOS PROCESOS Y PROYECTOS DE INVERSION A CARGO DE LA SECRETARIA DISTRITAL DE GOBIERNO</t>
  </si>
  <si>
    <t>REALIZAR LA ADICIÓN Y PRORROGA DEL CONTRATO 519 DE 2021 SUSCRITO ENTRE SECRETARIA DISTRITAL DE GOBIERNO Y KATHERINNE ALEXANDRA RIAÑO OVALLE</t>
  </si>
  <si>
    <t>RECLASIFICION DE ARL A RIESGO V A LOS CONTRATISTAS DE ACUERDO AL MEMORANDO 20212000378743</t>
  </si>
  <si>
    <t>REALIZAR LA ADICION Y PRORROGA DEL CONTRATO NO. 518 DE 2021 SUSCRITO ENTRE LA SECRETARIA DE GOBIERNO Y SONIA MAYERLY RODRIGUEZ TORRES</t>
  </si>
  <si>
    <t>REALIZAR ADICION, PRORROGA Y OTRO SI DEL CONTRATO 840 DE 2021 SUSCRITO ENTRE SECRETARIA DISTRITAL DE GOBIERNO Y MARÍA ALEJANDRA MALAGON QUINTERO</t>
  </si>
  <si>
    <t>REALIZAR ADICION, PRORROGA Y OTRO SI DEL CONTRATO 874 DE 2021 SUSCRITO ENTRE SECRETARIA DISTRITAL DE GOBIERNO Y YOSEF FABIAN OJEDA LARA</t>
  </si>
  <si>
    <t>REALIZAR LA ADICIÓN Y PRORROGA DEL CONTRATO 258 DE 2021 SUSCRITO ENTRE SECRETARIA DISTRITAL DE GOBIERNO Y ALVARO AUGUSTO O ́MEARA SARMIENTO</t>
  </si>
  <si>
    <t>Pago de la autoliquidación de la nómina general de diciembre. (Planta de Inversión). Esta solicitud presupuestal debe quedar como Cuenta por pagar</t>
  </si>
  <si>
    <t>Pago de las cesantías anuales 2021. (Planta de Inversión). Se debe dejar como Cuenta por pagar</t>
  </si>
  <si>
    <t>REALIZAR LA ADICIÓN, PRÓRROGA Y OTRO SI DEL CONTRATO 141 DE 2021 SUSCRITO ENTRE SECRETARIA DISTRITAL DE GOBIERNO Y DANGHELY ALEJANDRA ALVAREZ ALARCON</t>
  </si>
  <si>
    <t>REALIZAR LA ADICIÓN, PRÓRROGA Y OTRO SI DEL CONTRATO 83 DE 2021 SUSCRITO ENTRE SECRETARIA DISTRITAL DE GOBIERNO Y JONATHAN WILMER LANDINEZ ROJAS</t>
  </si>
  <si>
    <t>REALIZAR LA ADICIÓN, PRÓRROGA Y OTRO SI DEL CONTRATO 82 DE 2021 SUSCRITO ENTRE SECRETARIA DISTRITAL DE GOBIERNO Y MARY LUZ RODRIGUEZ CALDERON</t>
  </si>
  <si>
    <t>REALIZAR LA ADICIÓN, PRÓRROGA Y OTRO SI DEL CONTRATO 205 DE 2021 SUSCRITO ENTRE SECRETARIA DISTRITAL DE GOBIERNO Y EDGAR JAIME MARTINEZ RODRIGUEZ</t>
  </si>
  <si>
    <t>REALIZAR LA ADICIÓN, PRÓRROGA Y OTRO SI DEL CONTRATO 376 DE 2021 SUSCRITO ENTRE SECRETARIA DISTRITAL DE GOBIERNO Y ROSA HELENA RAMIREZ VARGAS</t>
  </si>
  <si>
    <t>REALIZAR LA ADICIÓN, PRÓRROGA Y OTRO SI DEL CONTRATO 379 DE 2021 SUSCRITO ENTRE SECRETARIA DISTRITAL DE GOBIERNO Y MARIA JOSE BARRERA RANGEL</t>
  </si>
  <si>
    <t>REALIZAR LA ADICIÓN, PRÓRROGA Y OTRO SI DEL CONTRATO 78 DE 2021 SUSCRITO ENTRE SECRETARIA DISTRITAL DE GOBIERNO Y NICOLAS EDUARDO RIAÑO JIMENEZ</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</si>
  <si>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</si>
  <si>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</si>
  <si>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RECLASIFICION DE ARL A RIESGO V A LOS CONTRATISTAS DE ACUERDO AL MEMORANDO 20212000378743  Pago de la planilla No. 55687866 para el pago de los aportes  DE LOS CONTRATISTAS CON RIESGO V.</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</si>
  <si>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</si>
  <si>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REALIZAR LA ADICIÓN, PRÓRROGA Y OTRO SI DEL CONTRATO 225 DE 2021 SUSCRITO ENTRE SECRETARIA DISTRITAL DE GOBIERNO Y LUZ YADIRA RIVERA CARO</t>
  </si>
  <si>
    <t>Contratar la adquisición de dos (2) vehículos del lote 1-vehiculos convencionales, del tipo campero/camioneta del Acuerdo Marco Nº CCE-163-III-AMP-2020</t>
  </si>
  <si>
    <t>98</t>
  </si>
  <si>
    <t>99</t>
  </si>
  <si>
    <t>101</t>
  </si>
  <si>
    <t>1414</t>
  </si>
  <si>
    <t>55354364</t>
  </si>
  <si>
    <t>258</t>
  </si>
  <si>
    <t>106</t>
  </si>
  <si>
    <t>107</t>
  </si>
  <si>
    <t>141</t>
  </si>
  <si>
    <t>83</t>
  </si>
  <si>
    <t>82</t>
  </si>
  <si>
    <t>205</t>
  </si>
  <si>
    <t>379</t>
  </si>
  <si>
    <t>137</t>
  </si>
  <si>
    <t>1418</t>
  </si>
  <si>
    <t>55687866</t>
  </si>
  <si>
    <t>225</t>
  </si>
  <si>
    <t>WILSON HEDER OROZCO VENECIA</t>
  </si>
  <si>
    <t>ERIKA MILENA ESPEJO SOSA</t>
  </si>
  <si>
    <t>ERICA VANESSA VANEGAS MATEUS</t>
  </si>
  <si>
    <t>LUZ FANNY SANTAMARIA GALEANO</t>
  </si>
  <si>
    <t>REALIZAR LA ADICIÓN DEL CONTRATO No. 1403 DE 2021 SUSCRITO POR LA SECRETARÍA DISTRITAL DE GOBIERNO Y PANORAMMA DISEÑO DE SOLUCIONES S.A.S</t>
  </si>
  <si>
    <t>Prestar servicios de apoyo a la gestión para el desarrollo operativo de las jornadas de evaluación y mejora de la experiencia de usuario, de los programas de la Secretaría Distrital de Gobierno, en el marco del modelo de Gobierno Abierto de Bogotá.</t>
  </si>
  <si>
    <t>Prestar servicios profesionales para el desarrollo operativo de las estrategias de evaluación y mejora de la experiencia de usuario, de los programas de la Secretaría Distrital de Gobierno, en el marco del modelo de Gobierno Abierto de Bogotá</t>
  </si>
  <si>
    <t>Prestar los servicios de apoyo a la gestión en el fortalecimiento de las acciones a la secretaría Distrital de Gobierno dentro del modelo integrado de planeación y gestión institucional y sectorial</t>
  </si>
  <si>
    <t>Prestar los servicios de apoyo a la Gestión a la Secretaría Distrital de Gobierno en los asuntos relacionados con las estrategias de comunicaciones&lt;(&gt;,&lt;)&gt; actividades de cultura ciudadana, convivencia y participación lideradas por el despacho</t>
  </si>
  <si>
    <t>REALIZAR ADICION Y PRORROGA DEL CONTRATO 407 DE 2021 SUSCRITO ENTRE SECRETARIA DISTRITAL DE GOBIERNO Y ORLANDO NUMPAQUE GAMBASICA</t>
  </si>
  <si>
    <t>REALIZAR ADICION Y PRORROGA DEL CONTRATO 375 DE 2021 SUSCRITO ENTRE SECRETARIA DISTRITAL DE GOBIERNO Y CARLOS ANDRES RESTREPO BARRIOS</t>
  </si>
  <si>
    <t>REALIZAR ADICION Y PRORROGA DEL CONTRATO 351 DE 2021 SUSCRITO ENTRE SECRETARIA DISTRITAL DE GOBIERNO Y LAURA CAMILA GALVEZ TRUJILLO</t>
  </si>
  <si>
    <t>REALIZAR ADICION Y PRORROGA DEL CONTRATO 450 DE 2021 SUSCRITO ENTRE SECRETARIA DISTRITAL DE GOBIERNO Y PAOLA ANDREA PABON CUELLAR</t>
  </si>
  <si>
    <t>REALIZAR ADICION Y PRORROGA DEL CONTRATO 385 DE 2021 SUSCRITO ENTRE SECRETARIA DISTRITAL DE GOBIERNO Y MARIA DEL PILAR PERILLA SILVA</t>
  </si>
  <si>
    <t>REALIZAR LA ADICIÓN Y PRORROGA DEL CONTRATO 381 DE 2021 SUSCRITO ENTRE LA SECRETARIA DISTRITAL DE GOBIERNO Y WILMAN ROJAS MARQUEZ</t>
  </si>
  <si>
    <t>REALIZAR ADICION Y PRORROGA DEL CONTRATO 467 DE 2021  SUSCRITO ENTRE SECRETARIA DISTRITAL DE GOBIERNO Y OCTAVIO ORLANDO REYES ORJUELA.</t>
  </si>
  <si>
    <t>REALIZAR ADICION Y PRORROGA DEL CONTRATO 510 DE 2021 SUSCRITO ENTRE SECRETARIA DISTRITAL DE GOBIERNO Y HUGO YESID SUAREZ SIERRA</t>
  </si>
  <si>
    <t>REALIZAR ADICION Y PRORROGA DEL CONTRATO 508 DE 2021 SUSCRITO ENTRE SECRETARIA DISTRITAL DE GOBIERNO Y JULY DANIELA TIQUE HERNANDEZ</t>
  </si>
  <si>
    <t>EDNA JULIANA BARON BONILLA</t>
  </si>
  <si>
    <t>NESTOR EDUARDO PARRA RODRIGUEZ</t>
  </si>
  <si>
    <t>SANDRA YANNETH GORDILLO PEDROZA</t>
  </si>
  <si>
    <t>ARGELIO RAMIRO PACHECO PEREZ</t>
  </si>
  <si>
    <t>REALIZAR LA ADICIÓN Y PRÓRROGA DEL CONTRATO 75 DE 2021 SUSCRITO ENTRE SECRETARIA DISTRITAL DE GOBIERNO Y NANCY MAGALY GUERRERO GUTIERREZ</t>
  </si>
  <si>
    <t>REALIZAR LA ADICIÓN Y PRÓRROGA DEL CONTRATO 2 DE 2021 SUSCRITO ENTRE SECRETARIA DISTRITAL DE GOBIERNO Y CLAUDIA MARCELA AYALA CONTRERAS CEDIDO A EDNA JULIANA BARON BONILLA</t>
  </si>
  <si>
    <t>REALIZAR LA ADICIÓN, PRORROGA Y OTRO SÍ DEL CONTRATO No. 55 DE 2021 SUSCRITO POR YENY YAÑEZ BOLIVAR Y LA SECRETARÍA DISTRITAL DE GOBIERNO.</t>
  </si>
  <si>
    <t>REALIZAR LA ADICIÓN, PRORROGA Y OTRO SÍ DEL CONTRATO No. 56 DE 2021 SUSCRITO POR LA SECRETARÍA DISTRITAL DE GOBIERNO Y NESTOR EDUARDO PARRA RODRIGEZ (CESIONARIO BOLIVAR CUCHIA NANCY PAOLA)</t>
  </si>
  <si>
    <t>REALIZAR LA ADICIÓN, PRORROGA Y OTRO SÍ DEL CONTRATO No. 54 DE 2021 SUSCRITO POR ROSA MARIA GRANADOS ORTIZ Y LA SECRETARÍA DISTRITAL DE GOBIERNO.</t>
  </si>
  <si>
    <t>REALIZAR LA ADICIÓN, PRORROGA Y OTRO SÍ DEL CONTRATO No. 76 DE 2021 SUSCRITO POR LA SECRETARÍA DISTRITAL DE GOBIERNO Y NANCY PAOLA BOLIVAR CUCHIA (CEDIDO POR SICHACA CASTELBLANCO HECTOR JULIO).</t>
  </si>
  <si>
    <t>REALIZAR LA ADICIÓN, PRORROGA Y OTRO SÍ DEL CONTRATO No. 72 DE 2021  SUSCRITO POR JOSE MARIA ROJAS FIGUEREDO Y LA SECRETARÍA DISTRITAL DE GOBIERNO.</t>
  </si>
  <si>
    <t>PAGO DE PASIVO EXIGIBLE POR VALOR DE $80.033 TENIENDO EN CUENTA LA RESOLUCIÓN 1197 DE 2021</t>
  </si>
  <si>
    <t>REALIZAR LA ADICIÓN, PRORROGA Y OTROSI DEL CONTRATO 63 DE 2021 SUSCRITO POR JAIME ALEXANDER HURTADO SOTO Y LA SECRETARIA DISTRITAL DE GOBIERNO.</t>
  </si>
  <si>
    <t>REALIZAR LA ADICIÓN, PRORROGA Y OTRO SÍ DEL CONTRATO No. 304 DE 2021 SUSCRITO POR RAFAEL DAVID BLANCO CALDERÓN Y LA SECRETARÍA DISTRITAL DE GOBIERNO</t>
  </si>
  <si>
    <t>REALIZAR LA ADICIÓN Y PRÓRROGA DEL CONTRATO 680 DE 2021 SUSCRITO ENTRE SECRETARIA DISTRITAL DE GOBIERNO Y EXCELSIOR ADVANTAGE SAS</t>
  </si>
  <si>
    <t>REALIZAR LA ADICIÓN Y PRÓRROGA DEL CONTRATO 182 DE 2021 SUSCRITO POR LA SECRETARÍA DISTRITAL DE GOBIERNO Y JOHANA VARGAS GOMEZ</t>
  </si>
  <si>
    <t>REALIZAR ADICIÓN Y PRÓRROGA DEL CONTRATO 191 DE 2021 SUSCRITO ENTRE SECRETARIA DISTRITAL DE GOBIERNO Y CAROLINA FIERRO VALBUENA</t>
  </si>
  <si>
    <t>Solicitud CDP de ARL Dirección Administrativa mediante memorado 20214200075603</t>
  </si>
  <si>
    <t>REALIZAR LA ADICIÓN, PRÓRROGA Y OTRO SI DEL CONTRATO 838 DE 2021 SUSCRITO ENTRE SECRETARIA DISTRITAL DE GOBIERNO Y JOHANNA CATALINA PINZON PERDOMO</t>
  </si>
  <si>
    <t>REALIZAR LA ADICIÓN, PRÓRROGA Y OTRO SI DEL CONTRATO 793 DE 2021 SUSCRITO ENTRE SECRETARIA DISTRITAL DE GOBIERNO Y CRISTIAN ALEJANDRO PEREZ ARAQUE</t>
  </si>
  <si>
    <t>REALIZAR LA ADICIÓN Y PRÓRROGA DEL CONTRATO 777 DE 2021 SUSCRITO ENTRE SECRETARIA DISTRITAL DE GOBIERNO Y ANDRES VICENTE URIBE GELVEZ</t>
  </si>
  <si>
    <t>REALIZAR LA ADICIÓN Y PRÓRROGA DEL CONTRATO 782 DE 2021 SUSCRITO ENTRE SECRETARIA DISTRITAL DE GOBIERNO Y JUAN MANUEL VELASQUEZ MUÑOS</t>
  </si>
  <si>
    <t>REALIZAR LA ADICIÓN, PRORROGA Y OTRO SI DEL CONTRATO 808 DE 2021 SUSCRITO ENTRE LA SECRETARIA DISTRITAL DE GOBIERNO Y GESSICA MAYERLY FRANCO MEZA</t>
  </si>
  <si>
    <t>REALIZAR LA ADICIÓN Y PRÓRROGA DEL CONTRATO 697 DE 2021 SUSCRITO ENTRE SECRETARIA DISTRITAL DE GOBIERNO Y CAMILO ANDRÉS CASTAÑEDA HERNÁNDEZ</t>
  </si>
  <si>
    <t>REALIZAR LA ADICIÓN Y PRÓRROGA DEL CONTRATO 698 DE 2021 SUSCRITO ENTRE SECRETARIA DISTRITAL DE GOBIERNO Y EDUARD ALDEMAR SOTELO</t>
  </si>
  <si>
    <t>Pago del pasivo exigible 763 de 2019 por valor de $63.001 teniendo en cuenta resolución de reconocimiento de pago No. 1268 del 17 de noviembre de 2021</t>
  </si>
  <si>
    <t>Pago de pasivo exigible del contrato 437 de 2019 por valor de $777.333 teniendo en cuenta resolución de pago No. 1344 de fecha 29 de noviembre de 2021</t>
  </si>
  <si>
    <t>REALIZAR LA ADICION Y PRORROGA DEL CONTRATO 935 DE 2021 SUSCRITO ENTRE SECRETARIA DISTRITAL DE GOBIERNO Y MONICA ALEXANDRA TORRES NEIRA</t>
  </si>
  <si>
    <t>REALIZAR LA ADICION Y PRORROGA DEL CONTRATO 28 DE 2021 SUSCRITO ENTRE SECRETARIA DISTRITAL DE GOBIERNO Y ANGELICA MARIA BALLESTEROS SARAY</t>
  </si>
  <si>
    <t>PRESTACIÓN DE SERVICIOS PROFESIONALES ESPECIALIZADOS PARA APOYAR EN LA PARTE TECNICA EN EL SEGUIMIENTO, REVISIÓN&lt;(&gt;,&lt;)&gt; VERIFICACIÓN Y SUPERVISIÓN DE LOS TRAMITES DEL PROCESO DE ESTRUCTURACION DEL PROYECTO SMART WORKING DE LA SECRETARIA DISTRITAL DE GOBIERNO</t>
  </si>
  <si>
    <t>Solicitud CDP de ARL Dirección Administrativa mediante memorado 20214200075603   PAGO DE LA ARL DEL MES DE DICIEMBRE SEGÚN PLANILLA No. 55687866 $ 1.099.624</t>
  </si>
  <si>
    <t>TATIANA  TIQUE BERNIER</t>
  </si>
  <si>
    <t>REALIZAR LA ADICIÓN Y PRÓRROGA DEL CONTRATO 424 DE 2021 SUSCRITO POR LA SECRETARÍA DISTRITAL DE GOBIERNO Y CARLOS ANDRES GARZON PRIETO</t>
  </si>
  <si>
    <t>REALIZAR LA ADICIÓN Y PRÓRROGA DEL CONTRATO 414 DE 2021 SUSCRITO POR LA SECRETARÍA DISTRITAL DE GOBIERNO Y MATILDE MARIA DAZA DE OROZCO</t>
  </si>
  <si>
    <t>REALIZAR LA ADICIÓN Y PRÓRROGA DEL CONTRATO 959 DE 2021 SUSCRITO POR LA SECRETARÍA DISTRITAL DE GOBIERNO Y MELKIN JOSE MEJIA ALDANA</t>
  </si>
  <si>
    <t>Pago del pasivo exigible 58 de 2019 por valor de $70.000 teniendo en cuenta resolución de reconocimiento de pago No. 1343 del 29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</si>
</sst>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font>
      <sz val="10"/>
      <name val="Arial"/>
      <family val="2"/>
    </font>
    <font>
      <sz val="10"/>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1"/>
      <color indexed="8"/>
      <name val="Garamond"/>
      <family val="1"/>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59">
    <fill>
      <patternFill patternType="none"/>
    </fill>
    <fill>
      <patternFill patternType="gray125"/>
    </fill>
    <fill>
      <patternFill patternType="solid">
        <fgColor theme="4" tint="0.7999799847602844"/>
        <bgColor indexed="64"/>
      </patternFill>
    </fill>
    <fill>
      <patternFill patternType="solid">
        <fgColor indexed="31"/>
        <bgColor indexed="64"/>
      </patternFill>
    </fill>
    <fill>
      <patternFill patternType="solid">
        <fgColor theme="5" tint="0.7999799847602844"/>
        <bgColor indexed="64"/>
      </patternFill>
    </fill>
    <fill>
      <patternFill patternType="solid">
        <fgColor indexed="45"/>
        <bgColor indexed="64"/>
      </patternFill>
    </fill>
    <fill>
      <patternFill patternType="solid">
        <fgColor theme="6" tint="0.7999799847602844"/>
        <bgColor indexed="64"/>
      </patternFill>
    </fill>
    <fill>
      <patternFill patternType="solid">
        <fgColor indexed="42"/>
        <bgColor indexed="64"/>
      </patternFill>
    </fill>
    <fill>
      <patternFill patternType="solid">
        <fgColor theme="7" tint="0.7999799847602844"/>
        <bgColor indexed="64"/>
      </patternFill>
    </fill>
    <fill>
      <patternFill patternType="solid">
        <fgColor indexed="46"/>
        <bgColor indexed="64"/>
      </patternFill>
    </fill>
    <fill>
      <patternFill patternType="solid">
        <fgColor theme="8" tint="0.7999799847602844"/>
        <bgColor indexed="64"/>
      </patternFill>
    </fill>
    <fill>
      <patternFill patternType="solid">
        <fgColor indexed="27"/>
        <bgColor indexed="64"/>
      </patternFill>
    </fill>
    <fill>
      <patternFill patternType="solid">
        <fgColor theme="9" tint="0.7999799847602844"/>
        <bgColor indexed="64"/>
      </patternFill>
    </fill>
    <fill>
      <patternFill patternType="solid">
        <fgColor indexed="47"/>
        <bgColor indexed="64"/>
      </patternFill>
    </fill>
    <fill>
      <patternFill patternType="solid">
        <fgColor theme="4" tint="0.5999900102615356"/>
        <bgColor indexed="64"/>
      </patternFill>
    </fill>
    <fill>
      <patternFill patternType="solid">
        <fgColor indexed="44"/>
        <bgColor indexed="64"/>
      </patternFill>
    </fill>
    <fill>
      <patternFill patternType="solid">
        <fgColor theme="5" tint="0.5999900102615356"/>
        <bgColor indexed="64"/>
      </patternFill>
    </fill>
    <fill>
      <patternFill patternType="solid">
        <fgColor indexed="29"/>
        <bgColor indexed="64"/>
      </patternFill>
    </fill>
    <fill>
      <patternFill patternType="solid">
        <fgColor theme="6" tint="0.5999900102615356"/>
        <bgColor indexed="64"/>
      </patternFill>
    </fill>
    <fill>
      <patternFill patternType="solid">
        <fgColor indexed="11"/>
        <bgColor indexed="64"/>
      </patternFill>
    </fill>
    <fill>
      <patternFill patternType="solid">
        <fgColor theme="7" tint="0.5999900102615356"/>
        <bgColor indexed="64"/>
      </patternFill>
    </fill>
    <fill>
      <patternFill patternType="solid">
        <fgColor theme="8" tint="0.5999900102615356"/>
        <bgColor indexed="64"/>
      </patternFill>
    </fill>
    <fill>
      <patternFill patternType="solid">
        <fgColor theme="9" tint="0.5999900102615356"/>
        <bgColor indexed="64"/>
      </patternFill>
    </fill>
    <fill>
      <patternFill patternType="solid">
        <fgColor indexed="51"/>
        <bgColor indexed="64"/>
      </patternFill>
    </fill>
    <fill>
      <patternFill patternType="solid">
        <fgColor theme="4" tint="0.39998000860214233"/>
        <bgColor indexed="64"/>
      </patternFill>
    </fill>
    <fill>
      <patternFill patternType="solid">
        <fgColor indexed="30"/>
        <bgColor indexed="64"/>
      </patternFill>
    </fill>
    <fill>
      <patternFill patternType="solid">
        <fgColor theme="5" tint="0.39998000860214233"/>
        <bgColor indexed="64"/>
      </patternFill>
    </fill>
    <fill>
      <patternFill patternType="solid">
        <fgColor theme="6" tint="0.39998000860214233"/>
        <bgColor indexed="64"/>
      </patternFill>
    </fill>
    <fill>
      <patternFill patternType="solid">
        <fgColor theme="7" tint="0.39998000860214233"/>
        <bgColor indexed="64"/>
      </patternFill>
    </fill>
    <fill>
      <patternFill patternType="solid">
        <fgColor indexed="36"/>
        <bgColor indexed="64"/>
      </patternFill>
    </fill>
    <fill>
      <patternFill patternType="solid">
        <fgColor theme="8" tint="0.39998000860214233"/>
        <bgColor indexed="64"/>
      </patternFill>
    </fill>
    <fill>
      <patternFill patternType="solid">
        <fgColor indexed="49"/>
        <bgColor indexed="64"/>
      </patternFill>
    </fill>
    <fill>
      <patternFill patternType="solid">
        <fgColor theme="9" tint="0.39998000860214233"/>
        <bgColor indexed="64"/>
      </patternFill>
    </fill>
    <fill>
      <patternFill patternType="solid">
        <fgColor indexed="52"/>
        <bgColor indexed="64"/>
      </patternFill>
    </fill>
    <fill>
      <patternFill patternType="solid">
        <fgColor rgb="FFF2F2F2"/>
        <bgColor indexed="64"/>
      </patternFill>
    </fill>
    <fill>
      <patternFill patternType="solid">
        <fgColor indexed="22"/>
        <bgColor indexed="64"/>
      </patternFill>
    </fill>
    <fill>
      <patternFill patternType="solid">
        <fgColor rgb="FFA5A5A5"/>
        <bgColor indexed="64"/>
      </patternFill>
    </fill>
    <fill>
      <patternFill patternType="solid">
        <fgColor indexed="55"/>
        <bgColor indexed="64"/>
      </patternFill>
    </fill>
    <fill>
      <patternFill patternType="solid">
        <fgColor theme="4"/>
        <bgColor indexed="64"/>
      </patternFill>
    </fill>
    <fill>
      <patternFill patternType="solid">
        <fgColor indexed="62"/>
        <bgColor indexed="64"/>
      </patternFill>
    </fill>
    <fill>
      <patternFill patternType="solid">
        <fgColor theme="5"/>
        <bgColor indexed="64"/>
      </patternFill>
    </fill>
    <fill>
      <patternFill patternType="solid">
        <fgColor indexed="10"/>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indexed="43"/>
        <bgColor indexed="64"/>
      </patternFill>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theme="3" tint="0.7999799847602844"/>
        <bgColor indexed="64"/>
      </patternFill>
    </fill>
    <fill>
      <patternFill patternType="solid">
        <fgColor rgb="FFFFFF00"/>
        <bgColor indexed="64"/>
      </patternFill>
    </fill>
  </fills>
  <borders count="52">
    <border>
      <left/>
      <right/>
      <top/>
      <bottom/>
      <diagonal/>
    </border>
    <border>
      <left style="thin">
        <color rgb="FF7F7F7F"/>
      </left>
      <right style="thin">
        <color rgb="FF7F7F7F"/>
      </right>
      <top style="thin">
        <color rgb="FF7F7F7F"/>
      </top>
      <bottom style="thin">
        <color rgb="FF7F7F7F"/>
      </bottom>
    </border>
    <border>
      <left style="thin">
        <color indexed="23"/>
      </left>
      <right style="thin">
        <color indexed="23"/>
      </right>
      <top style="thin">
        <color indexed="23"/>
      </top>
      <bottom style="thin">
        <color indexed="23"/>
      </bottom>
    </border>
    <border>
      <left style="double">
        <color rgb="FF3F3F3F"/>
      </left>
      <right style="double">
        <color rgb="FF3F3F3F"/>
      </right>
      <top style="double">
        <color rgb="FF3F3F3F"/>
      </top>
      <bottom style="double">
        <color rgb="FF3F3F3F"/>
      </bottom>
    </border>
    <border>
      <left style="double">
        <color indexed="63"/>
      </left>
      <right style="double">
        <color indexed="63"/>
      </right>
      <top style="double">
        <color indexed="63"/>
      </top>
      <bottom style="double">
        <color indexed="63"/>
      </bottom>
    </border>
    <border>
      <left/>
      <right/>
      <top/>
      <bottom style="double">
        <color rgb="FFFF8001"/>
      </bottom>
    </border>
    <border>
      <left/>
      <right/>
      <top/>
      <bottom style="double">
        <color indexed="52"/>
      </bottom>
    </border>
    <border>
      <left style="thin">
        <color rgb="FFB2B2B2"/>
      </left>
      <right style="thin">
        <color rgb="FFB2B2B2"/>
      </right>
      <top style="thin">
        <color rgb="FFB2B2B2"/>
      </top>
      <bottom style="thin">
        <color rgb="FFB2B2B2"/>
      </bottom>
    </border>
    <border>
      <left style="thin">
        <color indexed="22"/>
      </left>
      <right style="thin">
        <color indexed="22"/>
      </right>
      <top style="thin">
        <color indexed="22"/>
      </top>
      <bottom style="thin">
        <color indexed="22"/>
      </bottom>
    </border>
    <border>
      <left style="thin">
        <color rgb="FF3F3F3F"/>
      </left>
      <right style="thin">
        <color rgb="FF3F3F3F"/>
      </right>
      <top style="thin">
        <color rgb="FF3F3F3F"/>
      </top>
      <bottom style="thin">
        <color rgb="FF3F3F3F"/>
      </bottom>
    </border>
    <border>
      <left style="thin">
        <color indexed="63"/>
      </left>
      <right style="thin">
        <color indexed="63"/>
      </right>
      <top style="thin">
        <color indexed="63"/>
      </top>
      <bottom style="thin">
        <color indexed="63"/>
      </bottom>
    </border>
    <border>
      <left/>
      <right/>
      <top/>
      <bottom style="thick">
        <color indexed="62"/>
      </bottom>
    </border>
    <border>
      <left/>
      <right/>
      <top/>
      <bottom style="thick">
        <color theme="4" tint="0.49998000264167786"/>
      </bottom>
    </border>
    <border>
      <left/>
      <right/>
      <top/>
      <bottom style="thick">
        <color indexed="22"/>
      </bottom>
    </border>
    <border>
      <left/>
      <right/>
      <top/>
      <bottom style="medium">
        <color theme="4" tint="0.39998000860214233"/>
      </bottom>
    </border>
    <border>
      <left/>
      <right/>
      <top/>
      <bottom style="medium">
        <color indexed="30"/>
      </bottom>
    </border>
    <border>
      <left/>
      <right/>
      <top style="thin">
        <color theme="4"/>
      </top>
      <bottom style="double">
        <color theme="4"/>
      </bottom>
    </border>
    <border>
      <left/>
      <right/>
      <top style="thin">
        <color indexed="62"/>
      </top>
      <bottom style="double">
        <color indexed="62"/>
      </bottom>
    </border>
    <border>
      <left/>
      <right/>
      <top/>
      <bottom style="thin">
        <color auto="1"/>
      </bottom>
    </border>
    <border>
      <left style="thin">
        <color auto="1"/>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bottom style="thin">
        <color auto="1"/>
      </bottom>
    </border>
    <border>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top style="thin">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thin">
        <color auto="1"/>
      </bottom>
    </border>
    <border>
      <left style="medium">
        <color auto="1"/>
      </left>
      <right style="thin">
        <color auto="1"/>
      </right>
      <top/>
      <bottom/>
    </border>
    <border>
      <left style="thin">
        <color auto="1"/>
      </left>
      <right style="medium">
        <color auto="1"/>
      </right>
      <top/>
      <bottom/>
    </border>
    <border>
      <left style="medium">
        <color auto="1"/>
      </left>
      <right style="thin">
        <color auto="1"/>
      </right>
      <top/>
      <bottom style="medium">
        <color auto="1"/>
      </bottom>
    </border>
    <border>
      <left style="thin">
        <color auto="1"/>
      </left>
      <right style="thin">
        <color auto="1"/>
      </right>
      <top/>
      <bottom style="medium">
        <color auto="1"/>
      </bottom>
    </border>
    <border>
      <left style="thin">
        <color auto="1"/>
      </left>
      <right/>
      <top/>
      <bottom style="medium">
        <color auto="1"/>
      </bottom>
    </border>
    <border>
      <left/>
      <right/>
      <top/>
      <bottom style="medium">
        <color auto="1"/>
      </bottom>
    </border>
    <border>
      <left/>
      <right style="thin">
        <color auto="1"/>
      </right>
      <top/>
      <bottom style="medium">
        <color auto="1"/>
      </bottom>
    </border>
    <border>
      <left style="thin">
        <color auto="1"/>
      </left>
      <right style="medium">
        <color auto="1"/>
      </right>
      <top/>
      <bottom style="medium">
        <color auto="1"/>
      </bottom>
    </border>
    <border>
      <left style="medium">
        <color auto="1"/>
      </left>
      <right/>
      <top/>
      <bottom style="medium">
        <color auto="1"/>
      </bottom>
    </border>
    <border>
      <left/>
      <right style="medium">
        <color auto="1"/>
      </right>
      <top/>
      <bottom style="medium">
        <color auto="1"/>
      </bottom>
    </border>
    <border>
      <left/>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thin">
        <color auto="1"/>
      </bottom>
    </border>
    <border>
      <left style="thin">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s>
  <cellStyleXfs count="41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 fillId="3"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 fillId="5"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 fillId="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 fillId="9"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 fillId="13"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 fillId="17"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 fillId="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 fillId="15"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7" fillId="24" borderId="0" applyNumberFormat="0" applyBorder="0" applyAlignment="0" applyProtection="0"/>
    <xf numFmtId="0" fontId="3" fillId="25" borderId="0" applyNumberFormat="0" applyBorder="0" applyAlignment="0" applyProtection="0"/>
    <xf numFmtId="0" fontId="26" fillId="24" borderId="0" applyNumberFormat="0" applyBorder="0" applyAlignment="0" applyProtection="0"/>
    <xf numFmtId="0" fontId="27" fillId="26" borderId="0" applyNumberFormat="0" applyBorder="0" applyAlignment="0" applyProtection="0"/>
    <xf numFmtId="0" fontId="3" fillId="17"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3" fillId="19" borderId="0" applyNumberFormat="0" applyBorder="0" applyAlignment="0" applyProtection="0"/>
    <xf numFmtId="0" fontId="26" fillId="27" borderId="0" applyNumberFormat="0" applyBorder="0" applyAlignment="0" applyProtection="0"/>
    <xf numFmtId="0" fontId="27" fillId="28" borderId="0" applyNumberFormat="0" applyBorder="0" applyAlignment="0" applyProtection="0"/>
    <xf numFmtId="0" fontId="3" fillId="29" borderId="0" applyNumberFormat="0" applyBorder="0" applyAlignment="0" applyProtection="0"/>
    <xf numFmtId="0" fontId="26" fillId="28" borderId="0" applyNumberFormat="0" applyBorder="0" applyAlignment="0" applyProtection="0"/>
    <xf numFmtId="0" fontId="27" fillId="30" borderId="0" applyNumberFormat="0" applyBorder="0" applyAlignment="0" applyProtection="0"/>
    <xf numFmtId="0" fontId="3" fillId="31" borderId="0" applyNumberFormat="0" applyBorder="0" applyAlignment="0" applyProtection="0"/>
    <xf numFmtId="0" fontId="26" fillId="30" borderId="0" applyNumberFormat="0" applyBorder="0" applyAlignment="0" applyProtection="0"/>
    <xf numFmtId="0" fontId="27" fillId="32" borderId="0" applyNumberFormat="0" applyBorder="0" applyAlignment="0" applyProtection="0"/>
    <xf numFmtId="0" fontId="3" fillId="33" borderId="0" applyNumberFormat="0" applyBorder="0" applyAlignment="0" applyProtection="0"/>
    <xf numFmtId="0" fontId="26" fillId="32" borderId="0" applyNumberFormat="0" applyBorder="0" applyAlignment="0" applyProtection="0"/>
    <xf numFmtId="0" fontId="4" fillId="7" borderId="0" applyNumberFormat="0" applyBorder="0" applyAlignment="0" applyProtection="0"/>
    <xf numFmtId="0" fontId="28" fillId="34" borderId="1" applyNumberFormat="0" applyAlignment="0" applyProtection="0"/>
    <xf numFmtId="0" fontId="5" fillId="35" borderId="2" applyNumberFormat="0" applyAlignment="0" applyProtection="0"/>
    <xf numFmtId="0" fontId="29" fillId="36" borderId="3" applyNumberFormat="0" applyAlignment="0" applyProtection="0"/>
    <xf numFmtId="0" fontId="6" fillId="37" borderId="4" applyNumberFormat="0" applyAlignment="0" applyProtection="0"/>
    <xf numFmtId="0" fontId="30" fillId="0" borderId="5" applyNumberFormat="0" applyFill="0" applyAlignment="0" applyProtection="0"/>
    <xf numFmtId="0" fontId="7" fillId="0" borderId="6"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38" borderId="0" applyNumberFormat="0" applyBorder="0" applyAlignment="0" applyProtection="0"/>
    <xf numFmtId="0" fontId="3" fillId="39" borderId="0" applyNumberFormat="0" applyBorder="0" applyAlignment="0" applyProtection="0"/>
    <xf numFmtId="0" fontId="27" fillId="40" borderId="0" applyNumberFormat="0" applyBorder="0" applyAlignment="0" applyProtection="0"/>
    <xf numFmtId="0" fontId="3" fillId="41" borderId="0" applyNumberFormat="0" applyBorder="0" applyAlignment="0" applyProtection="0"/>
    <xf numFmtId="0" fontId="27" fillId="42" borderId="0" applyNumberFormat="0" applyBorder="0" applyAlignment="0" applyProtection="0"/>
    <xf numFmtId="0" fontId="3" fillId="43" borderId="0" applyNumberFormat="0" applyBorder="0" applyAlignment="0" applyProtection="0"/>
    <xf numFmtId="0" fontId="27" fillId="44" borderId="0" applyNumberFormat="0" applyBorder="0" applyAlignment="0" applyProtection="0"/>
    <xf numFmtId="0" fontId="3" fillId="29" borderId="0" applyNumberFormat="0" applyBorder="0" applyAlignment="0" applyProtection="0"/>
    <xf numFmtId="0" fontId="27" fillId="45" borderId="0" applyNumberFormat="0" applyBorder="0" applyAlignment="0" applyProtection="0"/>
    <xf numFmtId="0" fontId="3" fillId="31" borderId="0" applyNumberFormat="0" applyBorder="0" applyAlignment="0" applyProtection="0"/>
    <xf numFmtId="0" fontId="27" fillId="46" borderId="0" applyNumberFormat="0" applyBorder="0" applyAlignment="0" applyProtection="0"/>
    <xf numFmtId="0" fontId="3" fillId="47" borderId="0" applyNumberFormat="0" applyBorder="0" applyAlignment="0" applyProtection="0"/>
    <xf numFmtId="0" fontId="32" fillId="48" borderId="1" applyNumberFormat="0" applyAlignment="0" applyProtection="0"/>
    <xf numFmtId="0" fontId="9" fillId="13" borderId="2" applyNumberFormat="0" applyAlignment="0" applyProtection="0"/>
    <xf numFmtId="0" fontId="33" fillId="49" borderId="0" applyNumberFormat="0" applyBorder="0" applyAlignment="0" applyProtection="0"/>
    <xf numFmtId="0" fontId="10" fillId="5" borderId="0" applyNumberFormat="0" applyBorder="0" applyAlignment="0" applyProtection="0"/>
    <xf numFmtId="165" fontId="0" fillId="0" borderId="0" applyFont="0" applyFill="0" applyBorder="0" applyAlignment="0" applyProtection="0"/>
    <xf numFmtId="41" fontId="0"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0" fillId="0" borderId="0" applyFont="0" applyFill="0" applyBorder="0" applyAlignment="0" applyProtection="0"/>
    <xf numFmtId="0" fontId="34" fillId="50" borderId="0" applyNumberFormat="0" applyBorder="0" applyAlignment="0" applyProtection="0"/>
    <xf numFmtId="0" fontId="11" fillId="51" borderId="0" applyNumberFormat="0" applyBorder="0" applyAlignment="0" applyProtection="0"/>
    <xf numFmtId="0" fontId="35" fillId="50" borderId="0" applyNumberFormat="0" applyBorder="0" applyAlignment="0" applyProtection="0"/>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0"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0"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0" borderId="0">
      <alignment/>
      <protection/>
    </xf>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0" fillId="53" borderId="8"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0" fontId="26" fillId="52" borderId="7" applyNumberFormat="0" applyFont="0" applyAlignment="0" applyProtection="0"/>
    <xf numFmtId="9" fontId="0" fillId="0" borderId="0" applyFont="0" applyFill="0" applyBorder="0" applyAlignment="0" applyProtection="0"/>
    <xf numFmtId="9" fontId="2" fillId="0" borderId="0" applyFont="0" applyFill="0" applyBorder="0" applyAlignment="0" applyProtection="0"/>
    <xf numFmtId="0" fontId="36" fillId="34" borderId="9" applyNumberFormat="0" applyAlignment="0" applyProtection="0"/>
    <xf numFmtId="0" fontId="12" fillId="35" borderId="10"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11" applyNumberFormat="0" applyFill="0" applyAlignment="0" applyProtection="0"/>
    <xf numFmtId="0" fontId="40" fillId="0" borderId="12" applyNumberFormat="0" applyFill="0" applyAlignment="0" applyProtection="0"/>
    <xf numFmtId="0" fontId="16" fillId="0" borderId="13" applyNumberFormat="0" applyFill="0" applyAlignment="0" applyProtection="0"/>
    <xf numFmtId="0" fontId="31" fillId="0" borderId="14" applyNumberFormat="0" applyFill="0" applyAlignment="0" applyProtection="0"/>
    <xf numFmtId="0" fontId="8" fillId="0" borderId="15"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16" applyNumberFormat="0" applyFill="0" applyAlignment="0" applyProtection="0"/>
    <xf numFmtId="0" fontId="18" fillId="0" borderId="17" applyNumberFormat="0" applyFill="0" applyAlignment="0" applyProtection="0"/>
  </cellStyleXfs>
  <cellXfs count="312">
    <xf numFmtId="0" fontId="0" fillId="0" borderId="0" xfId="0"/>
    <xf numFmtId="0" fontId="20" fillId="54" borderId="0" xfId="0" applyFont="1" applyFill="1"/>
    <xf numFmtId="0" fontId="21" fillId="54" borderId="0" xfId="0" applyFont="1" applyFill="1"/>
    <xf numFmtId="0" fontId="21" fillId="0" borderId="0" xfId="0" applyFont="1"/>
    <xf numFmtId="0" fontId="21" fillId="54" borderId="18" xfId="0" applyFont="1" applyFill="1" applyBorder="1"/>
    <xf numFmtId="17" fontId="20" fillId="54" borderId="18" xfId="0" applyNumberFormat="1" applyFont="1" applyFill="1" applyBorder="1" applyAlignment="1" quotePrefix="1">
      <alignment horizontal="right" vertical="center"/>
    </xf>
    <xf numFmtId="0" fontId="21" fillId="54" borderId="19" xfId="0" applyFont="1" applyFill="1" applyBorder="1"/>
    <xf numFmtId="0" fontId="21" fillId="54" borderId="20" xfId="0" applyFont="1" applyFill="1" applyBorder="1"/>
    <xf numFmtId="0" fontId="21" fillId="54" borderId="21" xfId="0" applyFont="1" applyFill="1" applyBorder="1"/>
    <xf numFmtId="0" fontId="21" fillId="54" borderId="22" xfId="0" applyFont="1" applyFill="1" applyBorder="1"/>
    <xf numFmtId="0" fontId="21" fillId="54" borderId="0" xfId="0" applyFont="1" applyFill="1" applyBorder="1"/>
    <xf numFmtId="4" fontId="21" fillId="54" borderId="0" xfId="0" applyNumberFormat="1" applyFont="1" applyFill="1" applyBorder="1" applyProtection="1">
      <protection locked="0"/>
    </xf>
    <xf numFmtId="4" fontId="21" fillId="54" borderId="22" xfId="0" applyNumberFormat="1" applyFont="1" applyFill="1" applyBorder="1" applyProtection="1">
      <protection locked="0"/>
    </xf>
    <xf numFmtId="4" fontId="21" fillId="54" borderId="21" xfId="0" applyNumberFormat="1" applyFont="1" applyFill="1" applyBorder="1" applyProtection="1">
      <protection locked="0"/>
    </xf>
    <xf numFmtId="0" fontId="21" fillId="54" borderId="21" xfId="0" applyFont="1" applyFill="1" applyBorder="1" applyAlignment="1">
      <alignment horizontal="left"/>
    </xf>
    <xf numFmtId="0" fontId="21" fillId="54" borderId="22" xfId="0" applyFont="1" applyFill="1" applyBorder="1" applyAlignment="1">
      <alignment horizontal="center"/>
    </xf>
    <xf numFmtId="0" fontId="21" fillId="54" borderId="21" xfId="0" applyFont="1" applyFill="1" applyBorder="1" applyAlignment="1">
      <alignment horizontal="center"/>
    </xf>
    <xf numFmtId="0" fontId="21" fillId="54" borderId="23" xfId="0" applyFont="1" applyFill="1" applyBorder="1"/>
    <xf numFmtId="0" fontId="21" fillId="54" borderId="24" xfId="0" applyFont="1" applyFill="1" applyBorder="1"/>
    <xf numFmtId="3" fontId="20" fillId="54" borderId="25" xfId="0" applyNumberFormat="1" applyFont="1" applyFill="1" applyBorder="1" applyAlignment="1" applyProtection="1">
      <alignment horizontal="right" vertical="center"/>
      <protection locked="0"/>
    </xf>
    <xf numFmtId="4" fontId="21" fillId="54" borderId="26" xfId="0" applyNumberFormat="1" applyFont="1" applyFill="1" applyBorder="1" applyProtection="1">
      <protection locked="0"/>
    </xf>
    <xf numFmtId="4" fontId="21" fillId="54" borderId="27" xfId="0" applyNumberFormat="1" applyFont="1" applyFill="1" applyBorder="1" applyProtection="1">
      <protection locked="0"/>
    </xf>
    <xf numFmtId="3" fontId="21" fillId="54" borderId="24" xfId="0" applyNumberFormat="1" applyFont="1" applyFill="1" applyBorder="1"/>
    <xf numFmtId="0" fontId="21" fillId="54" borderId="25" xfId="0" applyFont="1" applyFill="1" applyBorder="1"/>
    <xf numFmtId="0" fontId="20" fillId="54" borderId="28" xfId="0" applyFont="1" applyFill="1" applyBorder="1" applyAlignment="1">
      <alignment horizontal="center" vertical="justify"/>
    </xf>
    <xf numFmtId="15" fontId="21" fillId="54" borderId="21" xfId="0" applyNumberFormat="1" applyFont="1" applyFill="1" applyBorder="1" applyAlignment="1">
      <alignment horizontal="center"/>
    </xf>
    <xf numFmtId="3" fontId="21" fillId="54" borderId="29" xfId="0" applyNumberFormat="1" applyFont="1" applyFill="1" applyBorder="1" applyAlignment="1" applyProtection="1">
      <alignment horizontal="right" vertical="center"/>
      <protection locked="0"/>
    </xf>
    <xf numFmtId="15" fontId="21" fillId="55" borderId="29" xfId="0" applyNumberFormat="1" applyFont="1" applyFill="1" applyBorder="1" applyAlignment="1">
      <alignment horizontal="center"/>
    </xf>
    <xf numFmtId="0" fontId="21" fillId="55" borderId="29" xfId="0" applyFont="1" applyFill="1" applyBorder="1" applyAlignment="1">
      <alignment horizontal="center"/>
    </xf>
    <xf numFmtId="0" fontId="21" fillId="55" borderId="0" xfId="0" applyFont="1" applyFill="1" applyBorder="1"/>
    <xf numFmtId="0" fontId="21" fillId="55" borderId="22" xfId="0" applyFont="1" applyFill="1" applyBorder="1" applyAlignment="1">
      <alignment horizontal="center"/>
    </xf>
    <xf numFmtId="3" fontId="20" fillId="54" borderId="30" xfId="0" applyNumberFormat="1" applyFont="1" applyFill="1" applyBorder="1" applyAlignment="1" applyProtection="1">
      <alignment horizontal="right" vertical="center"/>
      <protection locked="0"/>
    </xf>
    <xf numFmtId="0" fontId="22" fillId="54" borderId="28" xfId="0" applyFont="1" applyFill="1" applyBorder="1" applyAlignment="1">
      <alignment horizontal="center" vertical="justify"/>
    </xf>
    <xf numFmtId="0" fontId="20" fillId="54" borderId="20" xfId="0" applyFont="1" applyFill="1" applyBorder="1" applyAlignment="1">
      <alignment horizontal="center" vertical="center"/>
    </xf>
    <xf numFmtId="0" fontId="20" fillId="54" borderId="27" xfId="0" applyFont="1" applyFill="1" applyBorder="1" applyAlignment="1">
      <alignment horizontal="center" vertical="center"/>
    </xf>
    <xf numFmtId="0" fontId="20" fillId="54" borderId="28" xfId="0" applyFont="1" applyFill="1" applyBorder="1" applyAlignment="1">
      <alignment horizontal="center" vertical="center"/>
    </xf>
    <xf numFmtId="0" fontId="20" fillId="54" borderId="31" xfId="0" applyFont="1" applyFill="1" applyBorder="1" applyAlignment="1">
      <alignment horizontal="center" vertical="center"/>
    </xf>
    <xf numFmtId="0" fontId="23" fillId="54" borderId="0" xfId="0" applyFont="1" applyFill="1"/>
    <xf numFmtId="0" fontId="22" fillId="54" borderId="0" xfId="0" applyFont="1" applyFill="1" applyAlignment="1">
      <alignment vertical="center"/>
    </xf>
    <xf numFmtId="0" fontId="22" fillId="54" borderId="0" xfId="0" applyFont="1" applyFill="1"/>
    <xf numFmtId="17" fontId="22" fillId="54" borderId="0" xfId="0" applyNumberFormat="1" applyFont="1" applyFill="1" applyBorder="1" applyAlignment="1" quotePrefix="1">
      <alignment horizontal="right" vertical="center"/>
    </xf>
    <xf numFmtId="0" fontId="22" fillId="54" borderId="30" xfId="0" applyFont="1" applyFill="1" applyBorder="1" applyAlignment="1">
      <alignment horizontal="center" vertical="center"/>
    </xf>
    <xf numFmtId="0" fontId="22" fillId="51" borderId="30" xfId="0" applyFont="1" applyFill="1" applyBorder="1" applyAlignment="1">
      <alignment horizontal="center" vertical="center"/>
    </xf>
    <xf numFmtId="0" fontId="22" fillId="56" borderId="30" xfId="0" applyFont="1" applyFill="1" applyBorder="1" applyAlignment="1">
      <alignment horizontal="center" vertical="center" wrapText="1"/>
    </xf>
    <xf numFmtId="4" fontId="22" fillId="5" borderId="30" xfId="0" applyNumberFormat="1" applyFont="1" applyFill="1" applyBorder="1" applyAlignment="1" applyProtection="1">
      <alignment horizontal="center" vertical="center"/>
      <protection locked="0"/>
    </xf>
    <xf numFmtId="0" fontId="23" fillId="55" borderId="30" xfId="282" applyFont="1" applyFill="1" applyBorder="1" applyAlignment="1">
      <alignment horizontal="left" vertical="center" wrapText="1"/>
      <protection/>
    </xf>
    <xf numFmtId="3" fontId="22" fillId="55" borderId="30" xfId="0" applyNumberFormat="1" applyFont="1" applyFill="1" applyBorder="1" applyAlignment="1" applyProtection="1">
      <alignment horizontal="right" vertical="center"/>
      <protection locked="0"/>
    </xf>
    <xf numFmtId="10" fontId="22" fillId="55" borderId="30" xfId="0" applyNumberFormat="1" applyFont="1" applyFill="1" applyBorder="1" applyAlignment="1" applyProtection="1">
      <alignment horizontal="center" vertical="center"/>
      <protection locked="0"/>
    </xf>
    <xf numFmtId="0" fontId="22" fillId="54" borderId="31" xfId="0" applyFont="1" applyFill="1" applyBorder="1" applyAlignment="1">
      <alignment vertical="center"/>
    </xf>
    <xf numFmtId="3" fontId="22" fillId="55" borderId="28" xfId="0" applyNumberFormat="1" applyFont="1" applyFill="1" applyBorder="1" applyAlignment="1" applyProtection="1">
      <alignment horizontal="right" vertical="center"/>
      <protection locked="0"/>
    </xf>
    <xf numFmtId="0" fontId="22" fillId="54" borderId="30" xfId="0" applyFont="1" applyFill="1" applyBorder="1" applyAlignment="1">
      <alignment vertical="center"/>
    </xf>
    <xf numFmtId="0" fontId="22" fillId="54" borderId="30" xfId="0" applyFont="1" applyFill="1" applyBorder="1" applyAlignment="1">
      <alignment horizontal="center" vertical="center" wrapText="1"/>
    </xf>
    <xf numFmtId="0" fontId="22" fillId="54" borderId="23" xfId="0" applyFont="1" applyFill="1" applyBorder="1" applyAlignment="1">
      <alignment horizontal="center" vertical="center" wrapText="1"/>
    </xf>
    <xf numFmtId="0" fontId="23" fillId="54" borderId="23" xfId="0" applyFont="1" applyFill="1" applyBorder="1"/>
    <xf numFmtId="0" fontId="23" fillId="55" borderId="25" xfId="0" applyNumberFormat="1" applyFont="1" applyFill="1" applyBorder="1" applyAlignment="1" applyProtection="1">
      <alignment horizontal="center" vertical="center"/>
      <protection locked="0"/>
    </xf>
    <xf numFmtId="0" fontId="23" fillId="54" borderId="0" xfId="0" applyFont="1" applyFill="1" applyBorder="1"/>
    <xf numFmtId="4" fontId="22" fillId="54" borderId="0" xfId="0" applyNumberFormat="1" applyFont="1" applyFill="1" applyBorder="1" applyAlignment="1" applyProtection="1">
      <alignment horizontal="right" vertical="center"/>
      <protection locked="0"/>
    </xf>
    <xf numFmtId="0" fontId="22" fillId="54" borderId="0" xfId="0" applyFont="1" applyFill="1" applyBorder="1" applyAlignment="1">
      <alignment vertical="center"/>
    </xf>
    <xf numFmtId="3" fontId="22" fillId="55" borderId="0" xfId="0" applyNumberFormat="1" applyFont="1" applyFill="1" applyBorder="1" applyAlignment="1" applyProtection="1">
      <alignment horizontal="right" vertical="center"/>
      <protection locked="0"/>
    </xf>
    <xf numFmtId="0" fontId="23" fillId="54" borderId="32" xfId="0" applyFont="1" applyFill="1" applyBorder="1"/>
    <xf numFmtId="4" fontId="22" fillId="54" borderId="32" xfId="0" applyNumberFormat="1" applyFont="1" applyFill="1" applyBorder="1" applyAlignment="1" applyProtection="1">
      <alignment horizontal="right" vertical="center"/>
      <protection locked="0"/>
    </xf>
    <xf numFmtId="0" fontId="22" fillId="54" borderId="32" xfId="0" applyFont="1" applyFill="1" applyBorder="1" applyAlignment="1">
      <alignment vertical="center"/>
    </xf>
    <xf numFmtId="3" fontId="22" fillId="55" borderId="32" xfId="0" applyNumberFormat="1" applyFont="1" applyFill="1" applyBorder="1" applyAlignment="1" applyProtection="1">
      <alignment horizontal="right" vertical="center"/>
      <protection locked="0"/>
    </xf>
    <xf numFmtId="10" fontId="22" fillId="54" borderId="32" xfId="0" applyNumberFormat="1" applyFont="1" applyFill="1" applyBorder="1" applyAlignment="1" applyProtection="1">
      <alignment horizontal="center" vertical="center"/>
      <protection locked="0"/>
    </xf>
    <xf numFmtId="0" fontId="22" fillId="54" borderId="0" xfId="0" applyFont="1" applyFill="1" applyAlignment="1">
      <alignment horizontal="right" vertical="center"/>
    </xf>
    <xf numFmtId="3" fontId="23" fillId="54" borderId="0" xfId="0" applyNumberFormat="1" applyFont="1" applyFill="1"/>
    <xf numFmtId="167" fontId="23" fillId="54" borderId="0" xfId="243" applyNumberFormat="1" applyFont="1" applyFill="1" applyAlignment="1">
      <alignment horizontal="right"/>
    </xf>
    <xf numFmtId="0" fontId="24" fillId="55" borderId="21" xfId="0" applyFont="1" applyFill="1" applyBorder="1"/>
    <xf numFmtId="3" fontId="21" fillId="0" borderId="0" xfId="0" applyNumberFormat="1" applyFont="1"/>
    <xf numFmtId="0" fontId="21" fillId="54" borderId="29" xfId="0" applyFont="1" applyFill="1" applyBorder="1" applyAlignment="1">
      <alignment horizontal="center" vertical="center"/>
    </xf>
    <xf numFmtId="0" fontId="21" fillId="54" borderId="21" xfId="0" applyNumberFormat="1" applyFont="1" applyFill="1" applyBorder="1"/>
    <xf numFmtId="0" fontId="21" fillId="55" borderId="29" xfId="0" applyFont="1" applyFill="1" applyBorder="1" applyAlignment="1">
      <alignment horizontal="center" vertical="center"/>
    </xf>
    <xf numFmtId="0" fontId="20" fillId="0" borderId="0" xfId="0" applyFont="1" applyFill="1" applyBorder="1" applyAlignment="1">
      <alignment horizontal="center" vertical="justify"/>
    </xf>
    <xf numFmtId="4" fontId="22" fillId="55" borderId="30" xfId="0" applyNumberFormat="1" applyFont="1" applyFill="1" applyBorder="1" applyAlignment="1" applyProtection="1">
      <alignment horizontal="right" vertical="center"/>
      <protection locked="0"/>
    </xf>
    <xf numFmtId="0" fontId="20" fillId="57" borderId="0" xfId="0" applyFont="1" applyFill="1" applyBorder="1" applyAlignment="1">
      <alignment horizontal="center" vertical="center" wrapText="1"/>
    </xf>
    <xf numFmtId="0" fontId="20" fillId="57" borderId="0" xfId="0" applyFont="1" applyFill="1" applyBorder="1" applyAlignment="1">
      <alignment horizontal="center" vertical="justify"/>
    </xf>
    <xf numFmtId="0" fontId="22" fillId="48" borderId="30" xfId="0" applyFont="1" applyFill="1" applyBorder="1" applyAlignment="1">
      <alignment horizontal="center" vertical="center" wrapText="1"/>
    </xf>
    <xf numFmtId="0" fontId="19" fillId="48" borderId="30" xfId="0" applyFont="1" applyFill="1" applyBorder="1" applyAlignment="1">
      <alignment horizontal="center" vertical="center" wrapText="1"/>
    </xf>
    <xf numFmtId="0" fontId="22" fillId="48" borderId="28" xfId="0" applyFont="1" applyFill="1" applyBorder="1" applyAlignment="1">
      <alignment horizontal="center" vertical="center" wrapText="1"/>
    </xf>
    <xf numFmtId="3" fontId="20" fillId="48" borderId="29" xfId="0" applyNumberFormat="1" applyFont="1" applyFill="1" applyBorder="1" applyAlignment="1">
      <alignment horizontal="right" vertical="center" wrapText="1"/>
    </xf>
    <xf numFmtId="3" fontId="20" fillId="48" borderId="28" xfId="0" applyNumberFormat="1" applyFont="1" applyFill="1" applyBorder="1" applyAlignment="1" applyProtection="1">
      <alignment horizontal="right" vertical="center" wrapText="1"/>
      <protection locked="0"/>
    </xf>
    <xf numFmtId="10" fontId="20" fillId="48" borderId="28" xfId="0" applyNumberFormat="1" applyFont="1" applyFill="1" applyBorder="1" applyAlignment="1" applyProtection="1">
      <alignment horizontal="center" vertical="center" wrapText="1"/>
      <protection locked="0"/>
    </xf>
    <xf numFmtId="0" fontId="21" fillId="48" borderId="30" xfId="0" applyFont="1" applyFill="1" applyBorder="1" applyAlignment="1">
      <alignment horizontal="center"/>
    </xf>
    <xf numFmtId="0" fontId="21" fillId="54" borderId="0" xfId="0" applyFont="1" applyFill="1" applyAlignment="1">
      <alignment horizontal="center"/>
    </xf>
    <xf numFmtId="0" fontId="21" fillId="54" borderId="18"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5" borderId="21" xfId="0" applyFont="1" applyFill="1" applyBorder="1" applyAlignment="1">
      <alignment horizontal="left"/>
    </xf>
    <xf numFmtId="0" fontId="21" fillId="0" borderId="0" xfId="0" applyFont="1" applyFill="1"/>
    <xf numFmtId="0" fontId="21" fillId="0" borderId="0" xfId="0" applyFont="1" applyFill="1" applyBorder="1"/>
    <xf numFmtId="3" fontId="22" fillId="54" borderId="0" xfId="0" applyNumberFormat="1" applyFont="1" applyFill="1" applyBorder="1" applyAlignment="1">
      <alignment vertical="center"/>
    </xf>
    <xf numFmtId="41" fontId="22" fillId="55" borderId="0" xfId="244" applyFont="1" applyFill="1" applyBorder="1" applyAlignment="1" applyProtection="1">
      <alignment horizontal="right" vertical="center"/>
      <protection locked="0"/>
    </xf>
    <xf numFmtId="41" fontId="23" fillId="54" borderId="0" xfId="244" applyFont="1" applyFill="1" applyAlignment="1">
      <alignment vertical="center"/>
    </xf>
    <xf numFmtId="0" fontId="21" fillId="55" borderId="31" xfId="0" applyFont="1" applyFill="1" applyBorder="1" applyAlignment="1">
      <alignment horizontal="center"/>
    </xf>
    <xf numFmtId="0" fontId="0" fillId="0" borderId="21" xfId="0" applyBorder="1"/>
    <xf numFmtId="14" fontId="0" fillId="0" borderId="0" xfId="0" applyNumberFormat="1"/>
    <xf numFmtId="0" fontId="0" fillId="0" borderId="29" xfId="0" applyBorder="1" applyAlignment="1">
      <alignment horizontal="center"/>
    </xf>
    <xf numFmtId="0" fontId="0" fillId="0" borderId="21" xfId="0" applyBorder="1" applyAlignment="1">
      <alignment horizontal="center"/>
    </xf>
    <xf numFmtId="3" fontId="21" fillId="0" borderId="0" xfId="0" applyNumberFormat="1" applyFont="1" applyFill="1" applyBorder="1"/>
    <xf numFmtId="0" fontId="23" fillId="0" borderId="21" xfId="0" applyFont="1" applyBorder="1"/>
    <xf numFmtId="3" fontId="21" fillId="55" borderId="29" xfId="0" applyNumberFormat="1" applyFont="1" applyFill="1" applyBorder="1" applyAlignment="1" applyProtection="1">
      <alignment horizontal="right" vertical="center"/>
      <protection locked="0"/>
    </xf>
    <xf numFmtId="0" fontId="20" fillId="54" borderId="28" xfId="0" applyFont="1" applyFill="1" applyBorder="1" applyAlignment="1">
      <alignment horizontal="center" vertical="center"/>
    </xf>
    <xf numFmtId="0" fontId="20" fillId="54" borderId="31" xfId="0" applyFont="1" applyFill="1" applyBorder="1" applyAlignment="1">
      <alignment horizontal="center" vertical="center"/>
    </xf>
    <xf numFmtId="0" fontId="20" fillId="54" borderId="20" xfId="0" applyFont="1" applyFill="1" applyBorder="1" applyAlignment="1">
      <alignment horizontal="center" vertical="center"/>
    </xf>
    <xf numFmtId="0" fontId="20" fillId="54" borderId="27" xfId="0" applyFont="1" applyFill="1" applyBorder="1" applyAlignment="1">
      <alignment horizontal="center" vertical="center"/>
    </xf>
    <xf numFmtId="0" fontId="22" fillId="55" borderId="30" xfId="0" applyNumberFormat="1" applyFont="1" applyFill="1" applyBorder="1" applyAlignment="1" applyProtection="1">
      <alignment horizontal="center" vertical="center"/>
      <protection locked="0"/>
    </xf>
    <xf numFmtId="0" fontId="43" fillId="0" borderId="0" xfId="0" applyFont="1"/>
    <xf numFmtId="0" fontId="21" fillId="54" borderId="29" xfId="0" applyFont="1" applyFill="1" applyBorder="1" applyAlignment="1">
      <alignment horizontal="center"/>
    </xf>
    <xf numFmtId="0" fontId="20" fillId="54" borderId="22" xfId="0" applyFont="1" applyFill="1" applyBorder="1" applyAlignment="1">
      <alignment horizontal="center"/>
    </xf>
    <xf numFmtId="14" fontId="21" fillId="54" borderId="21" xfId="0" applyNumberFormat="1" applyFont="1" applyFill="1" applyBorder="1" applyAlignment="1">
      <alignment horizontal="center"/>
    </xf>
    <xf numFmtId="14" fontId="21" fillId="55" borderId="29" xfId="0" applyNumberFormat="1" applyFont="1" applyFill="1" applyBorder="1" applyAlignment="1">
      <alignment horizontal="center"/>
    </xf>
    <xf numFmtId="14" fontId="21" fillId="54" borderId="21" xfId="0" applyNumberFormat="1" applyFont="1" applyFill="1" applyBorder="1" applyAlignment="1">
      <alignment horizontal="center" vertical="center"/>
    </xf>
    <xf numFmtId="167" fontId="21" fillId="54" borderId="29" xfId="243" applyNumberFormat="1" applyFont="1" applyFill="1" applyBorder="1" applyAlignment="1">
      <alignment horizontal="right" vertical="center"/>
    </xf>
    <xf numFmtId="0" fontId="20" fillId="54" borderId="0" xfId="0" applyFont="1" applyFill="1" applyBorder="1" applyAlignment="1">
      <alignment horizontal="center"/>
    </xf>
    <xf numFmtId="0" fontId="44" fillId="0" borderId="19" xfId="0" applyFont="1" applyBorder="1"/>
    <xf numFmtId="0" fontId="44" fillId="0" borderId="21" xfId="0" applyFont="1" applyBorder="1"/>
    <xf numFmtId="0" fontId="44" fillId="0" borderId="0" xfId="0" applyFont="1"/>
    <xf numFmtId="0" fontId="25" fillId="54" borderId="19" xfId="0" applyFont="1" applyFill="1" applyBorder="1"/>
    <xf numFmtId="14" fontId="21" fillId="54" borderId="29" xfId="0" applyNumberFormat="1" applyFont="1" applyFill="1" applyBorder="1"/>
    <xf numFmtId="0" fontId="20" fillId="54" borderId="31" xfId="0" applyFont="1" applyFill="1" applyBorder="1" applyAlignment="1">
      <alignment horizontal="center" vertical="center"/>
    </xf>
    <xf numFmtId="168" fontId="21" fillId="4" borderId="29" xfId="0" applyNumberFormat="1" applyFont="1" applyFill="1" applyBorder="1" applyAlignment="1">
      <alignment horizontal="center"/>
    </xf>
    <xf numFmtId="0" fontId="22" fillId="54" borderId="33" xfId="0" applyFont="1" applyFill="1" applyBorder="1" applyAlignment="1">
      <alignment horizontal="center" vertical="justify"/>
    </xf>
    <xf numFmtId="0" fontId="20" fillId="54" borderId="33" xfId="0" applyFont="1" applyFill="1" applyBorder="1" applyAlignment="1">
      <alignment horizontal="center" vertical="center"/>
    </xf>
    <xf numFmtId="0" fontId="20" fillId="54" borderId="33" xfId="0" applyFont="1" applyFill="1" applyBorder="1" applyAlignment="1">
      <alignment horizontal="center" vertical="justify"/>
    </xf>
    <xf numFmtId="0" fontId="20" fillId="54" borderId="34" xfId="0" applyFont="1" applyFill="1" applyBorder="1" applyAlignment="1">
      <alignment horizontal="center" vertical="center"/>
    </xf>
    <xf numFmtId="0" fontId="20" fillId="54" borderId="35" xfId="0" applyFont="1" applyFill="1" applyBorder="1" applyAlignment="1">
      <alignment horizontal="center" vertical="center"/>
    </xf>
    <xf numFmtId="15" fontId="21" fillId="55" borderId="36" xfId="0" applyNumberFormat="1" applyFont="1" applyFill="1" applyBorder="1" applyAlignment="1">
      <alignment horizontal="center"/>
    </xf>
    <xf numFmtId="3" fontId="21" fillId="54" borderId="37" xfId="0" applyNumberFormat="1" applyFont="1" applyFill="1" applyBorder="1" applyAlignment="1" applyProtection="1">
      <alignment horizontal="right" vertical="center"/>
      <protection locked="0"/>
    </xf>
    <xf numFmtId="15" fontId="21" fillId="55" borderId="38" xfId="0" applyNumberFormat="1" applyFont="1" applyFill="1" applyBorder="1" applyAlignment="1">
      <alignment horizontal="center"/>
    </xf>
    <xf numFmtId="168" fontId="21" fillId="4" borderId="39" xfId="0" applyNumberFormat="1" applyFont="1" applyFill="1" applyBorder="1" applyAlignment="1">
      <alignment horizontal="center"/>
    </xf>
    <xf numFmtId="0" fontId="21" fillId="54" borderId="40" xfId="0" applyFont="1" applyFill="1" applyBorder="1" applyAlignment="1">
      <alignment horizontal="center"/>
    </xf>
    <xf numFmtId="0" fontId="0" fillId="0" borderId="40" xfId="0" applyBorder="1" applyAlignment="1">
      <alignment horizontal="center"/>
    </xf>
    <xf numFmtId="0" fontId="0" fillId="0" borderId="40" xfId="0" applyBorder="1"/>
    <xf numFmtId="0" fontId="21" fillId="55" borderId="41" xfId="0" applyFont="1" applyFill="1" applyBorder="1"/>
    <xf numFmtId="0" fontId="21" fillId="55" borderId="42" xfId="0" applyFont="1" applyFill="1" applyBorder="1" applyAlignment="1">
      <alignment horizontal="center"/>
    </xf>
    <xf numFmtId="3" fontId="21" fillId="54" borderId="39" xfId="0" applyNumberFormat="1" applyFont="1" applyFill="1" applyBorder="1" applyAlignment="1" applyProtection="1">
      <alignment horizontal="right" vertical="center"/>
      <protection locked="0"/>
    </xf>
    <xf numFmtId="3" fontId="21" fillId="54" borderId="43" xfId="0" applyNumberFormat="1" applyFont="1" applyFill="1" applyBorder="1" applyAlignment="1" applyProtection="1">
      <alignment horizontal="right" vertical="center"/>
      <protection locked="0"/>
    </xf>
    <xf numFmtId="0" fontId="23" fillId="0" borderId="40" xfId="0" applyFont="1" applyBorder="1"/>
    <xf numFmtId="0" fontId="0" fillId="0" borderId="0" xfId="0" applyFont="1"/>
    <xf numFmtId="0" fontId="0" fillId="0" borderId="44" xfId="0" applyBorder="1"/>
    <xf numFmtId="0" fontId="0" fillId="0" borderId="41" xfId="0" applyBorder="1"/>
    <xf numFmtId="3" fontId="0" fillId="0" borderId="41" xfId="0" applyNumberFormat="1" applyBorder="1"/>
    <xf numFmtId="3" fontId="0" fillId="0" borderId="45" xfId="0" applyNumberFormat="1" applyBorder="1"/>
    <xf numFmtId="0" fontId="25" fillId="54" borderId="21" xfId="0" applyFont="1" applyFill="1" applyBorder="1"/>
    <xf numFmtId="0" fontId="43" fillId="0" borderId="19" xfId="0" applyFont="1" applyBorder="1"/>
    <xf numFmtId="0" fontId="25" fillId="54" borderId="22" xfId="0" applyFont="1" applyFill="1" applyBorder="1"/>
    <xf numFmtId="0" fontId="25" fillId="55" borderId="0" xfId="0" applyFont="1" applyFill="1" applyBorder="1"/>
    <xf numFmtId="0" fontId="43" fillId="0" borderId="21" xfId="0" applyFont="1" applyBorder="1"/>
    <xf numFmtId="0" fontId="25" fillId="55" borderId="22" xfId="0" applyFont="1" applyFill="1" applyBorder="1" applyAlignment="1">
      <alignment horizontal="center"/>
    </xf>
    <xf numFmtId="0" fontId="46" fillId="55" borderId="21" xfId="0" applyFont="1" applyFill="1" applyBorder="1"/>
    <xf numFmtId="0" fontId="25" fillId="54" borderId="22" xfId="0" applyFont="1" applyFill="1" applyBorder="1" applyAlignment="1">
      <alignment horizontal="center"/>
    </xf>
    <xf numFmtId="1" fontId="0" fillId="0" borderId="0" xfId="243" applyNumberFormat="1" applyFont="1" applyAlignment="1">
      <alignment horizontal="right"/>
    </xf>
    <xf numFmtId="0" fontId="25" fillId="55" borderId="26" xfId="0" applyFont="1" applyFill="1" applyBorder="1" applyAlignment="1">
      <alignment horizontal="left"/>
    </xf>
    <xf numFmtId="167" fontId="21" fillId="54" borderId="29" xfId="243" applyNumberFormat="1" applyFont="1" applyFill="1" applyBorder="1" applyAlignment="1">
      <alignment horizontal="center" vertical="center"/>
    </xf>
    <xf numFmtId="0" fontId="22" fillId="54" borderId="28" xfId="243" applyNumberFormat="1" applyFont="1" applyFill="1" applyBorder="1" applyAlignment="1">
      <alignment horizontal="center" vertical="justify"/>
    </xf>
    <xf numFmtId="0" fontId="20" fillId="54" borderId="31" xfId="243" applyNumberFormat="1" applyFont="1" applyFill="1" applyBorder="1" applyAlignment="1">
      <alignment horizontal="center" vertical="center"/>
    </xf>
    <xf numFmtId="0" fontId="21" fillId="54" borderId="29" xfId="243" applyNumberFormat="1" applyFont="1" applyFill="1" applyBorder="1" applyAlignment="1">
      <alignment horizontal="center"/>
    </xf>
    <xf numFmtId="0" fontId="21" fillId="55" borderId="29" xfId="243" applyNumberFormat="1" applyFont="1" applyFill="1" applyBorder="1" applyAlignment="1">
      <alignment horizontal="center"/>
    </xf>
    <xf numFmtId="0" fontId="19" fillId="48" borderId="30" xfId="243" applyNumberFormat="1" applyFont="1" applyFill="1" applyBorder="1" applyAlignment="1">
      <alignment horizontal="center" vertical="center" wrapText="1"/>
    </xf>
    <xf numFmtId="0" fontId="21" fillId="48" borderId="30" xfId="243" applyNumberFormat="1" applyFont="1" applyFill="1" applyBorder="1" applyAlignment="1">
      <alignment horizontal="center"/>
    </xf>
    <xf numFmtId="0" fontId="20" fillId="54" borderId="0" xfId="243" applyNumberFormat="1" applyFont="1" applyFill="1" applyAlignment="1">
      <alignment horizontal="center"/>
    </xf>
    <xf numFmtId="0" fontId="21" fillId="54" borderId="0" xfId="243" applyNumberFormat="1" applyFont="1" applyFill="1" applyAlignment="1">
      <alignment horizontal="center"/>
    </xf>
    <xf numFmtId="0" fontId="21" fillId="54" borderId="18" xfId="243" applyNumberFormat="1" applyFont="1" applyFill="1" applyBorder="1" applyAlignment="1">
      <alignment horizontal="center"/>
    </xf>
    <xf numFmtId="0" fontId="21" fillId="54" borderId="24" xfId="243" applyNumberFormat="1" applyFont="1" applyFill="1" applyBorder="1" applyAlignment="1">
      <alignment horizontal="center"/>
    </xf>
    <xf numFmtId="0" fontId="20" fillId="48" borderId="29" xfId="243" applyNumberFormat="1" applyFont="1" applyFill="1" applyBorder="1" applyAlignment="1">
      <alignment horizontal="center" vertical="center" wrapText="1"/>
    </xf>
    <xf numFmtId="0" fontId="21" fillId="0" borderId="0" xfId="243" applyNumberFormat="1" applyFont="1" applyAlignment="1">
      <alignment horizontal="center"/>
    </xf>
    <xf numFmtId="15" fontId="21" fillId="55" borderId="21" xfId="0" applyNumberFormat="1" applyFont="1" applyFill="1" applyBorder="1" applyAlignment="1">
      <alignment horizontal="center"/>
    </xf>
    <xf numFmtId="0" fontId="21" fillId="54" borderId="27" xfId="0" applyFont="1" applyFill="1" applyBorder="1" applyAlignment="1">
      <alignment horizontal="center"/>
    </xf>
    <xf numFmtId="0" fontId="21" fillId="55" borderId="21" xfId="0" applyFont="1" applyFill="1" applyBorder="1" applyAlignment="1">
      <alignment horizontal="center"/>
    </xf>
    <xf numFmtId="0" fontId="21" fillId="55" borderId="26" xfId="0" applyFont="1" applyFill="1" applyBorder="1" applyAlignment="1">
      <alignment horizontal="center"/>
    </xf>
    <xf numFmtId="0" fontId="21" fillId="54" borderId="21" xfId="0" applyFont="1" applyFill="1" applyBorder="1" applyAlignment="1">
      <alignment horizontal="center" vertical="center"/>
    </xf>
    <xf numFmtId="0" fontId="21" fillId="55" borderId="21" xfId="0" applyFont="1" applyFill="1" applyBorder="1" applyAlignment="1">
      <alignment horizontal="center" vertical="center"/>
    </xf>
    <xf numFmtId="14" fontId="0" fillId="0" borderId="0" xfId="0" applyNumberFormat="1" applyAlignment="1">
      <alignment horizontal="center"/>
    </xf>
    <xf numFmtId="167" fontId="21" fillId="54" borderId="29" xfId="243" applyNumberFormat="1" applyFont="1" applyFill="1" applyBorder="1" applyAlignment="1" applyProtection="1">
      <alignment horizontal="center" vertical="center"/>
      <protection locked="0"/>
    </xf>
    <xf numFmtId="3" fontId="21" fillId="54" borderId="29" xfId="0" applyNumberFormat="1" applyFont="1" applyFill="1" applyBorder="1" applyAlignment="1" applyProtection="1">
      <alignment horizontal="center" vertical="center"/>
      <protection locked="0"/>
    </xf>
    <xf numFmtId="14" fontId="0" fillId="0" borderId="0" xfId="0" applyNumberFormat="1" applyAlignment="1">
      <alignment horizontal="center" vertical="top"/>
    </xf>
    <xf numFmtId="0" fontId="25" fillId="55" borderId="23" xfId="0" applyFont="1" applyFill="1" applyBorder="1" applyAlignment="1">
      <alignment horizontal="left"/>
    </xf>
    <xf numFmtId="0" fontId="0" fillId="0" borderId="0" xfId="0" applyAlignment="1">
      <alignment vertical="top"/>
    </xf>
    <xf numFmtId="0" fontId="0" fillId="0" borderId="21" xfId="0" applyBorder="1" applyAlignment="1">
      <alignment vertical="top"/>
    </xf>
    <xf numFmtId="14" fontId="0" fillId="0" borderId="0" xfId="0" applyNumberFormat="1" applyBorder="1"/>
    <xf numFmtId="0" fontId="21" fillId="54" borderId="19" xfId="0" applyFont="1" applyFill="1" applyBorder="1" applyAlignment="1">
      <alignment horizontal="center"/>
    </xf>
    <xf numFmtId="0" fontId="21" fillId="55" borderId="19" xfId="0" applyFont="1" applyFill="1" applyBorder="1" applyAlignment="1">
      <alignment horizontal="center"/>
    </xf>
    <xf numFmtId="0" fontId="0" fillId="0" borderId="28" xfId="0" applyBorder="1" applyAlignment="1">
      <alignment horizontal="center"/>
    </xf>
    <xf numFmtId="0" fontId="21" fillId="55" borderId="20" xfId="0" applyFont="1" applyFill="1" applyBorder="1"/>
    <xf numFmtId="0" fontId="21" fillId="55" borderId="22" xfId="0" applyFont="1" applyFill="1" applyBorder="1"/>
    <xf numFmtId="3" fontId="0" fillId="0" borderId="0" xfId="0" applyNumberFormat="1" applyAlignment="1">
      <alignment horizontal="right" vertical="top"/>
    </xf>
    <xf numFmtId="0" fontId="0" fillId="0" borderId="0" xfId="0" applyAlignment="1">
      <alignment vertical="top"/>
    </xf>
    <xf numFmtId="0" fontId="0" fillId="0" borderId="26" xfId="0" applyBorder="1" applyAlignment="1">
      <alignment vertical="top"/>
    </xf>
    <xf numFmtId="0" fontId="44" fillId="0" borderId="21" xfId="0" applyFont="1" applyBorder="1" applyAlignment="1">
      <alignment vertical="top"/>
    </xf>
    <xf numFmtId="0" fontId="44" fillId="0" borderId="26" xfId="0" applyFont="1" applyBorder="1" applyAlignment="1">
      <alignment vertical="top"/>
    </xf>
    <xf numFmtId="0" fontId="21" fillId="55" borderId="27" xfId="0" applyFont="1" applyFill="1" applyBorder="1"/>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xf numFmtId="0" fontId="0" fillId="0" borderId="0" xfId="0" applyAlignment="1">
      <alignment vertical="top"/>
    </xf>
    <xf numFmtId="0" fontId="21" fillId="55" borderId="0" xfId="0" applyFont="1" applyFill="1"/>
    <xf numFmtId="0" fontId="20" fillId="55" borderId="0" xfId="0" applyFont="1" applyFill="1" applyBorder="1" applyAlignment="1">
      <alignment horizontal="center" vertical="justify"/>
    </xf>
    <xf numFmtId="0" fontId="20" fillId="55" borderId="0" xfId="0" applyFont="1" applyFill="1" applyBorder="1" applyAlignment="1">
      <alignment horizontal="center" vertical="center" wrapText="1"/>
    </xf>
    <xf numFmtId="17" fontId="20" fillId="55" borderId="18" xfId="0" applyNumberFormat="1" applyFont="1" applyFill="1" applyBorder="1" applyAlignment="1" quotePrefix="1">
      <alignment horizontal="right" vertical="center"/>
    </xf>
    <xf numFmtId="4" fontId="21" fillId="55" borderId="27" xfId="0" applyNumberFormat="1" applyFont="1" applyFill="1" applyBorder="1" applyProtection="1">
      <protection locked="0"/>
    </xf>
    <xf numFmtId="0" fontId="20" fillId="55" borderId="28" xfId="0" applyFont="1" applyFill="1" applyBorder="1" applyAlignment="1">
      <alignment horizontal="center" vertical="center"/>
    </xf>
    <xf numFmtId="0" fontId="20" fillId="55" borderId="31" xfId="0" applyFont="1" applyFill="1" applyBorder="1" applyAlignment="1">
      <alignment horizontal="center" vertical="center"/>
    </xf>
    <xf numFmtId="3" fontId="20" fillId="55" borderId="30" xfId="0" applyNumberFormat="1" applyFont="1" applyFill="1" applyBorder="1" applyAlignment="1" applyProtection="1">
      <alignment horizontal="right" vertical="center"/>
      <protection locked="0"/>
    </xf>
    <xf numFmtId="0" fontId="21" fillId="55" borderId="25" xfId="0" applyFont="1" applyFill="1" applyBorder="1"/>
    <xf numFmtId="0" fontId="22" fillId="55" borderId="30" xfId="0" applyFont="1" applyFill="1" applyBorder="1" applyAlignment="1">
      <alignment horizontal="center" vertical="center" wrapText="1"/>
    </xf>
    <xf numFmtId="3" fontId="20" fillId="55" borderId="28" xfId="0" applyNumberFormat="1" applyFont="1" applyFill="1" applyBorder="1" applyAlignment="1" applyProtection="1">
      <alignment horizontal="right" vertical="center" wrapText="1"/>
      <protection locked="0"/>
    </xf>
    <xf numFmtId="0" fontId="21" fillId="55" borderId="30" xfId="0" applyFont="1" applyFill="1" applyBorder="1" applyAlignment="1">
      <alignment horizontal="center"/>
    </xf>
    <xf numFmtId="3" fontId="20" fillId="54" borderId="25" xfId="0" applyNumberFormat="1" applyFont="1" applyFill="1" applyBorder="1" applyAlignment="1" applyProtection="1">
      <alignment horizontal="center" vertical="center"/>
      <protection locked="0"/>
    </xf>
    <xf numFmtId="167" fontId="0" fillId="0" borderId="0" xfId="243" applyNumberFormat="1" applyFont="1" applyAlignment="1">
      <alignment horizontal="center"/>
    </xf>
    <xf numFmtId="3" fontId="20" fillId="54" borderId="30" xfId="0" applyNumberFormat="1" applyFont="1" applyFill="1" applyBorder="1" applyAlignment="1" applyProtection="1">
      <alignment horizontal="center" vertical="center"/>
      <protection locked="0"/>
    </xf>
    <xf numFmtId="3" fontId="21" fillId="54" borderId="24" xfId="0" applyNumberFormat="1" applyFont="1" applyFill="1" applyBorder="1" applyAlignment="1">
      <alignment horizontal="center"/>
    </xf>
    <xf numFmtId="3" fontId="20" fillId="48" borderId="28" xfId="0" applyNumberFormat="1" applyFont="1" applyFill="1" applyBorder="1" applyAlignment="1" applyProtection="1">
      <alignment horizontal="center" vertical="center" wrapText="1"/>
      <protection locked="0"/>
    </xf>
    <xf numFmtId="0" fontId="20" fillId="54" borderId="22" xfId="0" applyFont="1" applyFill="1" applyBorder="1" applyAlignment="1">
      <alignment horizontal="center" vertical="center"/>
    </xf>
    <xf numFmtId="0" fontId="20" fillId="54" borderId="21" xfId="0" applyFont="1" applyFill="1" applyBorder="1" applyAlignment="1">
      <alignment horizontal="center" vertical="center"/>
    </xf>
    <xf numFmtId="0" fontId="22" fillId="54" borderId="21" xfId="0" applyFont="1" applyFill="1" applyBorder="1" applyAlignment="1">
      <alignment horizontal="left" vertical="center"/>
    </xf>
    <xf numFmtId="0" fontId="25" fillId="54" borderId="21" xfId="243" applyNumberFormat="1" applyFont="1" applyFill="1" applyBorder="1" applyAlignment="1">
      <alignment horizontal="center"/>
    </xf>
    <xf numFmtId="0" fontId="47" fillId="54" borderId="0" xfId="0" applyFont="1" applyFill="1"/>
    <xf numFmtId="0" fontId="48" fillId="54" borderId="0" xfId="0" applyFont="1" applyFill="1"/>
    <xf numFmtId="0" fontId="47" fillId="54" borderId="18" xfId="0" applyFont="1" applyFill="1" applyBorder="1"/>
    <xf numFmtId="0" fontId="47" fillId="54" borderId="0" xfId="0" applyFont="1" applyFill="1" applyBorder="1"/>
    <xf numFmtId="4" fontId="47" fillId="54" borderId="0" xfId="0" applyNumberFormat="1" applyFont="1" applyFill="1" applyBorder="1" applyProtection="1">
      <protection locked="0"/>
    </xf>
    <xf numFmtId="4" fontId="47" fillId="54" borderId="22" xfId="0" applyNumberFormat="1" applyFont="1" applyFill="1" applyBorder="1" applyProtection="1">
      <protection locked="0"/>
    </xf>
    <xf numFmtId="0" fontId="47" fillId="54" borderId="22" xfId="0" applyFont="1" applyFill="1" applyBorder="1"/>
    <xf numFmtId="0" fontId="47" fillId="54" borderId="24" xfId="0" applyFont="1" applyFill="1" applyBorder="1"/>
    <xf numFmtId="0" fontId="47" fillId="54" borderId="21" xfId="0" applyFont="1" applyFill="1" applyBorder="1"/>
    <xf numFmtId="0" fontId="47" fillId="54" borderId="20" xfId="0" applyFont="1" applyFill="1" applyBorder="1"/>
    <xf numFmtId="0" fontId="47" fillId="55" borderId="0" xfId="0" applyFont="1" applyFill="1" applyBorder="1"/>
    <xf numFmtId="0" fontId="47" fillId="55" borderId="22" xfId="0" applyFont="1" applyFill="1" applyBorder="1" applyAlignment="1">
      <alignment horizontal="center"/>
    </xf>
    <xf numFmtId="0" fontId="49" fillId="55" borderId="21" xfId="0" applyFont="1" applyFill="1" applyBorder="1"/>
    <xf numFmtId="0" fontId="47" fillId="54" borderId="22" xfId="0" applyFont="1" applyFill="1" applyBorder="1" applyAlignment="1">
      <alignment horizontal="center"/>
    </xf>
    <xf numFmtId="0" fontId="44" fillId="0" borderId="0" xfId="0" applyFont="1" applyAlignment="1">
      <alignment vertical="top"/>
    </xf>
    <xf numFmtId="3" fontId="47" fillId="54" borderId="24" xfId="0" applyNumberFormat="1" applyFont="1" applyFill="1" applyBorder="1"/>
    <xf numFmtId="0" fontId="48" fillId="48" borderId="30" xfId="0" applyFont="1" applyFill="1" applyBorder="1" applyAlignment="1">
      <alignment horizontal="center" vertical="center" wrapText="1"/>
    </xf>
    <xf numFmtId="3" fontId="48" fillId="48" borderId="28" xfId="0" applyNumberFormat="1" applyFont="1" applyFill="1" applyBorder="1" applyAlignment="1" applyProtection="1">
      <alignment horizontal="right" vertical="center" wrapText="1"/>
      <protection locked="0"/>
    </xf>
    <xf numFmtId="10" fontId="48" fillId="48" borderId="28" xfId="0" applyNumberFormat="1" applyFont="1" applyFill="1" applyBorder="1" applyAlignment="1" applyProtection="1">
      <alignment horizontal="center" vertical="center" wrapText="1"/>
      <protection locked="0"/>
    </xf>
    <xf numFmtId="0" fontId="47" fillId="48" borderId="30" xfId="0" applyFont="1" applyFill="1" applyBorder="1" applyAlignment="1">
      <alignment horizontal="center"/>
    </xf>
    <xf numFmtId="0" fontId="47" fillId="0" borderId="0" xfId="0" applyFont="1"/>
    <xf numFmtId="0" fontId="47" fillId="54" borderId="19" xfId="0" applyFont="1" applyFill="1" applyBorder="1"/>
    <xf numFmtId="0" fontId="47" fillId="55" borderId="21" xfId="0" applyFont="1" applyFill="1" applyBorder="1" applyAlignment="1">
      <alignment horizontal="left"/>
    </xf>
    <xf numFmtId="0" fontId="47" fillId="55" borderId="26" xfId="0" applyFont="1" applyFill="1" applyBorder="1" applyAlignment="1">
      <alignment horizontal="left"/>
    </xf>
    <xf numFmtId="3" fontId="0" fillId="0" borderId="0" xfId="0" applyNumberFormat="1" applyAlignment="1">
      <alignment horizontal="right" vertical="top"/>
    </xf>
    <xf numFmtId="3" fontId="0" fillId="0" borderId="0" xfId="0" applyNumberFormat="1" applyAlignment="1">
      <alignment horizontal="right" vertical="top"/>
    </xf>
    <xf numFmtId="14" fontId="0" fillId="0" borderId="0" xfId="0" applyNumberFormat="1" applyAlignment="1">
      <alignment horizontal="right" vertical="top"/>
    </xf>
    <xf numFmtId="3" fontId="0" fillId="55" borderId="0" xfId="0" applyNumberFormat="1" applyFill="1" applyAlignment="1">
      <alignment horizontal="right" vertical="top"/>
    </xf>
    <xf numFmtId="14" fontId="0" fillId="0" borderId="0" xfId="0" applyNumberFormat="1" applyAlignment="1">
      <alignment horizontal="right" vertical="top"/>
    </xf>
    <xf numFmtId="0" fontId="0" fillId="12" borderId="0" xfId="0" applyFill="1" applyAlignment="1">
      <alignment vertical="top"/>
    </xf>
    <xf numFmtId="0" fontId="0" fillId="0" borderId="0" xfId="0" applyAlignment="1">
      <alignment vertical="top"/>
    </xf>
    <xf numFmtId="14" fontId="0" fillId="0" borderId="0" xfId="0" applyNumberFormat="1" applyAlignment="1">
      <alignment horizontal="right" vertical="top"/>
    </xf>
    <xf numFmtId="0" fontId="0" fillId="0" borderId="0" xfId="0" applyAlignment="1">
      <alignment vertical="top"/>
    </xf>
    <xf numFmtId="3" fontId="0" fillId="58" borderId="0" xfId="0" applyNumberFormat="1" applyFill="1" applyAlignment="1">
      <alignment horizontal="right" vertical="top"/>
    </xf>
    <xf numFmtId="0" fontId="0" fillId="0" borderId="0" xfId="0" applyAlignment="1">
      <alignment vertical="top"/>
    </xf>
    <xf numFmtId="14" fontId="0" fillId="0" borderId="0" xfId="0" applyNumberFormat="1" applyAlignment="1">
      <alignment horizontal="right" vertical="top"/>
    </xf>
    <xf numFmtId="0" fontId="0" fillId="0" borderId="0" xfId="0" applyAlignment="1">
      <alignment vertical="top"/>
    </xf>
    <xf numFmtId="14" fontId="0" fillId="0" borderId="0" xfId="0" applyNumberFormat="1" applyAlignment="1">
      <alignment horizontal="right" vertical="top"/>
    </xf>
    <xf numFmtId="3" fontId="0" fillId="0" borderId="0" xfId="282" applyNumberFormat="1" applyAlignment="1">
      <alignment horizontal="right" vertical="top"/>
      <protection/>
    </xf>
    <xf numFmtId="0" fontId="0" fillId="0" borderId="0" xfId="282" applyAlignment="1">
      <alignment vertical="top"/>
      <protection/>
    </xf>
    <xf numFmtId="14" fontId="0" fillId="0" borderId="0" xfId="282" applyNumberFormat="1" applyAlignment="1">
      <alignment horizontal="right" vertical="top"/>
      <protection/>
    </xf>
    <xf numFmtId="0" fontId="0" fillId="0" borderId="0" xfId="0" applyAlignment="1">
      <alignment vertical="top"/>
    </xf>
    <xf numFmtId="0" fontId="44" fillId="0" borderId="21" xfId="282" applyFont="1" applyBorder="1" applyAlignment="1">
      <alignment vertical="top"/>
      <protection/>
    </xf>
    <xf numFmtId="14" fontId="44" fillId="0" borderId="0" xfId="282" applyNumberFormat="1" applyFont="1" applyAlignment="1">
      <alignment horizontal="right" vertical="top"/>
      <protection/>
    </xf>
    <xf numFmtId="0" fontId="48" fillId="54" borderId="21" xfId="0" applyFont="1" applyFill="1" applyBorder="1" applyAlignment="1">
      <alignment horizontal="left" vertical="center"/>
    </xf>
    <xf numFmtId="0" fontId="48" fillId="54" borderId="22" xfId="0" applyFont="1" applyFill="1" applyBorder="1" applyAlignment="1">
      <alignment horizontal="center" vertical="center"/>
    </xf>
    <xf numFmtId="0" fontId="44" fillId="0" borderId="0" xfId="282" applyFont="1" applyAlignment="1">
      <alignment vertical="top"/>
      <protection/>
    </xf>
    <xf numFmtId="3" fontId="44" fillId="0" borderId="0" xfId="282" applyNumberFormat="1" applyFont="1" applyAlignment="1">
      <alignment horizontal="right" vertical="top"/>
      <protection/>
    </xf>
    <xf numFmtId="14" fontId="44" fillId="0" borderId="0" xfId="0" applyNumberFormat="1" applyFont="1" applyBorder="1" applyAlignment="1">
      <alignment horizontal="right" vertical="top"/>
    </xf>
    <xf numFmtId="0" fontId="44" fillId="0" borderId="0" xfId="0" applyFont="1" applyBorder="1" applyAlignment="1">
      <alignment vertical="top"/>
    </xf>
    <xf numFmtId="3" fontId="44" fillId="0" borderId="22" xfId="0" applyNumberFormat="1" applyFont="1" applyBorder="1" applyAlignment="1">
      <alignment horizontal="right" vertical="top"/>
    </xf>
    <xf numFmtId="0" fontId="21" fillId="55" borderId="18" xfId="0" applyFont="1" applyFill="1" applyBorder="1" applyAlignment="1">
      <alignment horizontal="center"/>
    </xf>
    <xf numFmtId="3" fontId="0" fillId="0" borderId="0" xfId="0" applyNumberFormat="1" applyAlignment="1">
      <alignment horizontal="right" vertical="top"/>
    </xf>
    <xf numFmtId="0" fontId="21" fillId="55" borderId="18" xfId="0" applyFont="1" applyFill="1" applyBorder="1"/>
    <xf numFmtId="0" fontId="44" fillId="0" borderId="23" xfId="0" applyFont="1" applyBorder="1" applyAlignment="1">
      <alignment vertical="top"/>
    </xf>
    <xf numFmtId="0" fontId="21" fillId="55" borderId="23" xfId="0" applyFont="1" applyFill="1" applyBorder="1" applyAlignment="1">
      <alignment horizontal="center"/>
    </xf>
    <xf numFmtId="0" fontId="47" fillId="55" borderId="23" xfId="0" applyFont="1" applyFill="1" applyBorder="1" applyAlignment="1">
      <alignment horizontal="left"/>
    </xf>
    <xf numFmtId="0" fontId="0" fillId="0" borderId="0" xfId="0" applyAlignment="1">
      <alignment horizontal="center" vertical="top"/>
    </xf>
    <xf numFmtId="0" fontId="48" fillId="54" borderId="0" xfId="0" applyFont="1" applyFill="1" applyBorder="1" applyAlignment="1">
      <alignment horizontal="center"/>
    </xf>
    <xf numFmtId="0" fontId="48" fillId="54" borderId="22" xfId="0" applyFont="1" applyFill="1" applyBorder="1" applyAlignment="1">
      <alignment horizontal="center"/>
    </xf>
    <xf numFmtId="0" fontId="0" fillId="0" borderId="21" xfId="282" applyBorder="1" applyAlignment="1">
      <alignment vertical="top"/>
      <protection/>
    </xf>
    <xf numFmtId="0" fontId="47" fillId="55" borderId="22" xfId="0" applyFont="1" applyFill="1" applyBorder="1"/>
    <xf numFmtId="0" fontId="20" fillId="54" borderId="0" xfId="0" applyFont="1" applyFill="1" applyBorder="1" applyAlignment="1">
      <alignment horizontal="center" vertical="center"/>
    </xf>
    <xf numFmtId="0" fontId="0" fillId="0" borderId="29" xfId="0" applyBorder="1" applyAlignment="1">
      <alignment horizontal="center" vertical="top"/>
    </xf>
    <xf numFmtId="3" fontId="0" fillId="0" borderId="0" xfId="0" applyNumberFormat="1" applyAlignment="1">
      <alignment horizontal="right" vertical="top"/>
    </xf>
    <xf numFmtId="0" fontId="21" fillId="54" borderId="25" xfId="0" applyFont="1" applyFill="1" applyBorder="1" applyAlignment="1">
      <alignment horizontal="center"/>
    </xf>
    <xf numFmtId="0" fontId="47" fillId="55" borderId="18" xfId="0" applyFont="1" applyFill="1" applyBorder="1"/>
    <xf numFmtId="3" fontId="0" fillId="0" borderId="0" xfId="0" applyNumberFormat="1" applyFont="1"/>
    <xf numFmtId="14" fontId="20" fillId="57" borderId="0" xfId="0" applyNumberFormat="1" applyFont="1" applyFill="1" applyBorder="1" applyAlignment="1" quotePrefix="1">
      <alignment horizontal="center" vertical="center" wrapText="1"/>
    </xf>
    <xf numFmtId="0" fontId="48" fillId="54" borderId="24" xfId="0" applyFont="1" applyFill="1" applyBorder="1" applyAlignment="1">
      <alignment horizontal="right"/>
    </xf>
    <xf numFmtId="0" fontId="48" fillId="54" borderId="25" xfId="0" applyFont="1" applyFill="1" applyBorder="1" applyAlignment="1">
      <alignment horizontal="right"/>
    </xf>
    <xf numFmtId="0" fontId="20" fillId="54" borderId="28" xfId="0" applyFont="1" applyFill="1" applyBorder="1" applyAlignment="1">
      <alignment horizontal="center" vertical="center"/>
    </xf>
    <xf numFmtId="0" fontId="20" fillId="54" borderId="31" xfId="0" applyFont="1" applyFill="1" applyBorder="1" applyAlignment="1">
      <alignment horizontal="center" vertical="center"/>
    </xf>
    <xf numFmtId="0" fontId="48" fillId="54" borderId="23" xfId="0" applyFont="1" applyFill="1" applyBorder="1" applyAlignment="1">
      <alignment horizontal="center"/>
    </xf>
    <xf numFmtId="0" fontId="48" fillId="54" borderId="24" xfId="0" applyFont="1" applyFill="1" applyBorder="1" applyAlignment="1">
      <alignment horizontal="center"/>
    </xf>
    <xf numFmtId="0" fontId="48" fillId="54" borderId="25" xfId="0" applyFont="1" applyFill="1" applyBorder="1" applyAlignment="1">
      <alignment horizontal="center"/>
    </xf>
    <xf numFmtId="0" fontId="22" fillId="54" borderId="19" xfId="243" applyNumberFormat="1" applyFont="1" applyFill="1" applyBorder="1" applyAlignment="1">
      <alignment horizontal="center" vertical="center"/>
    </xf>
    <xf numFmtId="0" fontId="22" fillId="54" borderId="26" xfId="243" applyNumberFormat="1" applyFont="1" applyFill="1" applyBorder="1" applyAlignment="1">
      <alignment horizontal="center" vertical="center"/>
    </xf>
    <xf numFmtId="0" fontId="20" fillId="54" borderId="19" xfId="0" applyFont="1" applyFill="1" applyBorder="1" applyAlignment="1">
      <alignment horizontal="center" vertical="center"/>
    </xf>
    <xf numFmtId="0" fontId="20" fillId="54" borderId="20" xfId="0" applyFont="1" applyFill="1" applyBorder="1" applyAlignment="1">
      <alignment horizontal="center" vertical="center"/>
    </xf>
    <xf numFmtId="0" fontId="20" fillId="54" borderId="26" xfId="0" applyFont="1" applyFill="1" applyBorder="1" applyAlignment="1">
      <alignment horizontal="center" vertical="center"/>
    </xf>
    <xf numFmtId="0" fontId="20" fillId="54" borderId="27" xfId="0" applyFont="1" applyFill="1" applyBorder="1" applyAlignment="1">
      <alignment horizontal="center" vertical="center"/>
    </xf>
    <xf numFmtId="0" fontId="20" fillId="54" borderId="24" xfId="0" applyFont="1" applyFill="1" applyBorder="1" applyAlignment="1">
      <alignment horizontal="right"/>
    </xf>
    <xf numFmtId="0" fontId="20" fillId="54" borderId="25" xfId="0" applyFont="1" applyFill="1" applyBorder="1" applyAlignment="1">
      <alignment horizontal="right"/>
    </xf>
    <xf numFmtId="0" fontId="20" fillId="54" borderId="23" xfId="0" applyFont="1" applyFill="1" applyBorder="1" applyAlignment="1">
      <alignment horizontal="center"/>
    </xf>
    <xf numFmtId="0" fontId="20" fillId="54" borderId="24" xfId="0" applyFont="1" applyFill="1" applyBorder="1" applyAlignment="1">
      <alignment horizontal="center"/>
    </xf>
    <xf numFmtId="0" fontId="20" fillId="54" borderId="25" xfId="0" applyFont="1" applyFill="1" applyBorder="1" applyAlignment="1">
      <alignment horizontal="center"/>
    </xf>
    <xf numFmtId="0" fontId="22" fillId="54" borderId="19" xfId="0" applyFont="1" applyFill="1" applyBorder="1" applyAlignment="1">
      <alignment horizontal="left" vertical="center"/>
    </xf>
    <xf numFmtId="0" fontId="22" fillId="54" borderId="26" xfId="0" applyFont="1" applyFill="1" applyBorder="1" applyAlignment="1">
      <alignment horizontal="left" vertical="center"/>
    </xf>
    <xf numFmtId="0" fontId="45" fillId="0" borderId="46" xfId="0" applyFont="1" applyBorder="1" applyAlignment="1">
      <alignment horizontal="center"/>
    </xf>
    <xf numFmtId="0" fontId="20" fillId="54" borderId="47" xfId="0" applyFont="1" applyFill="1" applyBorder="1" applyAlignment="1">
      <alignment horizontal="center" vertical="center"/>
    </xf>
    <xf numFmtId="0" fontId="20" fillId="54" borderId="48" xfId="0" applyFont="1" applyFill="1" applyBorder="1" applyAlignment="1">
      <alignment horizontal="center" vertical="center"/>
    </xf>
    <xf numFmtId="0" fontId="20" fillId="54" borderId="49" xfId="0" applyFont="1" applyFill="1" applyBorder="1" applyAlignment="1">
      <alignment horizontal="center"/>
    </xf>
    <xf numFmtId="0" fontId="20" fillId="54" borderId="50" xfId="0" applyFont="1" applyFill="1" applyBorder="1" applyAlignment="1">
      <alignment horizontal="center"/>
    </xf>
    <xf numFmtId="0" fontId="20" fillId="54" borderId="51" xfId="0" applyFont="1" applyFill="1" applyBorder="1" applyAlignment="1">
      <alignment horizontal="center"/>
    </xf>
    <xf numFmtId="0" fontId="20" fillId="54" borderId="33" xfId="0" applyFont="1" applyFill="1" applyBorder="1" applyAlignment="1">
      <alignment horizontal="center" vertical="center"/>
    </xf>
  </cellXfs>
  <cellStyles count="399">
    <cellStyle name="Normal" xfId="0" builtinId="0"/>
    <cellStyle name="Percent" xfId="15" builtinId="5"/>
    <cellStyle name="Currency" xfId="16" builtinId="4"/>
    <cellStyle name="Currency [0]" xfId="17" builtinId="7"/>
    <cellStyle name="Comma" xfId="18" builtinId="3"/>
    <cellStyle name="Comma [0]" xfId="19" builtinId="6"/>
    <cellStyle name="20% - Énfasis1" xfId="20" builtinId="30"/>
    <cellStyle name="20% - Énfasis1 10" xfId="21"/>
    <cellStyle name="20% - Énfasis1 11" xfId="22"/>
    <cellStyle name="20% - Énfasis1 12" xfId="23"/>
    <cellStyle name="20% - Énfasis1 13" xfId="24"/>
    <cellStyle name="20% - Énfasis1 14" xfId="25"/>
    <cellStyle name="20% - Énfasis1 15" xfId="26"/>
    <cellStyle name="20% - Énfasis1 2" xfId="27"/>
    <cellStyle name="20% - Énfasis1 3" xfId="28"/>
    <cellStyle name="20% - Énfasis1 4" xfId="29"/>
    <cellStyle name="20% - Énfasis1 5" xfId="30"/>
    <cellStyle name="20% - Énfasis1 6" xfId="31"/>
    <cellStyle name="20% - Énfasis1 7" xfId="32"/>
    <cellStyle name="20% - Énfasis1 8" xfId="33"/>
    <cellStyle name="20% - Énfasis1 9" xfId="34"/>
    <cellStyle name="20% - Énfasis2" xfId="35" builtinId="34"/>
    <cellStyle name="20% - Énfasis2 10" xfId="36"/>
    <cellStyle name="20% - Énfasis2 11" xfId="37"/>
    <cellStyle name="20% - Énfasis2 12" xfId="38"/>
    <cellStyle name="20% - Énfasis2 13" xfId="39"/>
    <cellStyle name="20% - Énfasis2 14" xfId="40"/>
    <cellStyle name="20% - Énfasis2 15" xfId="41"/>
    <cellStyle name="20% - Énfasis2 2" xfId="42"/>
    <cellStyle name="20% - Énfasis2 3" xfId="43"/>
    <cellStyle name="20% - Énfasis2 4" xfId="44"/>
    <cellStyle name="20% - Énfasis2 5" xfId="45"/>
    <cellStyle name="20% - Énfasis2 6" xfId="46"/>
    <cellStyle name="20% - Énfasis2 7" xfId="47"/>
    <cellStyle name="20% - Énfasis2 8" xfId="48"/>
    <cellStyle name="20% - Énfasis2 9" xfId="49"/>
    <cellStyle name="20% - Énfasis3" xfId="50" builtinId="38"/>
    <cellStyle name="20% - Énfasis3 10" xfId="51"/>
    <cellStyle name="20% - Énfasis3 11" xfId="52"/>
    <cellStyle name="20% - Énfasis3 12" xfId="53"/>
    <cellStyle name="20% - Énfasis3 13" xfId="54"/>
    <cellStyle name="20% - Énfasis3 14" xfId="55"/>
    <cellStyle name="20% - Énfasis3 15" xfId="56"/>
    <cellStyle name="20% - Énfasis3 2" xfId="57"/>
    <cellStyle name="20% - Énfasis3 3" xfId="58"/>
    <cellStyle name="20% - Énfasis3 4" xfId="59"/>
    <cellStyle name="20% - Énfasis3 5" xfId="60"/>
    <cellStyle name="20% - Énfasis3 6" xfId="61"/>
    <cellStyle name="20% - Énfasis3 7" xfId="62"/>
    <cellStyle name="20% - Énfasis3 8" xfId="63"/>
    <cellStyle name="20% - Énfasis3 9" xfId="64"/>
    <cellStyle name="20% - Énfasis4" xfId="65" builtinId="42"/>
    <cellStyle name="20% - Énfasis4 10" xfId="66"/>
    <cellStyle name="20% - Énfasis4 11" xfId="67"/>
    <cellStyle name="20% - Énfasis4 12" xfId="68"/>
    <cellStyle name="20% - Énfasis4 13" xfId="69"/>
    <cellStyle name="20% - Énfasis4 14" xfId="70"/>
    <cellStyle name="20% - Énfasis4 15" xfId="71"/>
    <cellStyle name="20% - Énfasis4 2" xfId="72"/>
    <cellStyle name="20% - Énfasis4 3" xfId="73"/>
    <cellStyle name="20% - Énfasis4 4" xfId="74"/>
    <cellStyle name="20% - Énfasis4 5" xfId="75"/>
    <cellStyle name="20% - Énfasis4 6" xfId="76"/>
    <cellStyle name="20% - Énfasis4 7" xfId="77"/>
    <cellStyle name="20% - Énfasis4 8" xfId="78"/>
    <cellStyle name="20% - Énfasis4 9" xfId="79"/>
    <cellStyle name="20% - Énfasis5" xfId="80" builtinId="46"/>
    <cellStyle name="20% - Énfasis5 10" xfId="81"/>
    <cellStyle name="20% - Énfasis5 11" xfId="82"/>
    <cellStyle name="20% - Énfasis5 12" xfId="83"/>
    <cellStyle name="20% - Énfasis5 13" xfId="84"/>
    <cellStyle name="20% - Énfasis5 14" xfId="85"/>
    <cellStyle name="20% - Énfasis5 15" xfId="86"/>
    <cellStyle name="20% - Énfasis5 2" xfId="87"/>
    <cellStyle name="20% - Énfasis5 3" xfId="88"/>
    <cellStyle name="20% - Énfasis5 4" xfId="89"/>
    <cellStyle name="20% - Énfasis5 5" xfId="90"/>
    <cellStyle name="20% - Énfasis5 6" xfId="91"/>
    <cellStyle name="20% - Énfasis5 7" xfId="92"/>
    <cellStyle name="20% - Énfasis5 8" xfId="93"/>
    <cellStyle name="20% - Énfasis5 9" xfId="94"/>
    <cellStyle name="20% - Énfasis6" xfId="95" builtinId="50"/>
    <cellStyle name="20% - Énfasis6 10" xfId="96"/>
    <cellStyle name="20% - Énfasis6 11" xfId="97"/>
    <cellStyle name="20% - Énfasis6 12" xfId="98"/>
    <cellStyle name="20% - Énfasis6 13" xfId="99"/>
    <cellStyle name="20% - Énfasis6 14" xfId="100"/>
    <cellStyle name="20% - Énfasis6 15" xfId="101"/>
    <cellStyle name="20% - Énfasis6 2" xfId="102"/>
    <cellStyle name="20% - Énfasis6 3" xfId="103"/>
    <cellStyle name="20% - Énfasis6 4" xfId="104"/>
    <cellStyle name="20% - Énfasis6 5" xfId="105"/>
    <cellStyle name="20% - Énfasis6 6" xfId="106"/>
    <cellStyle name="20% - Énfasis6 7" xfId="107"/>
    <cellStyle name="20% - Énfasis6 8" xfId="108"/>
    <cellStyle name="20% - Énfasis6 9" xfId="109"/>
    <cellStyle name="40% - Énfasis1" xfId="110" builtinId="31"/>
    <cellStyle name="40% - Énfasis1 10" xfId="111"/>
    <cellStyle name="40% - Énfasis1 11" xfId="112"/>
    <cellStyle name="40% - Énfasis1 12" xfId="113"/>
    <cellStyle name="40% - Énfasis1 13" xfId="114"/>
    <cellStyle name="40% - Énfasis1 14" xfId="115"/>
    <cellStyle name="40% - Énfasis1 15" xfId="116"/>
    <cellStyle name="40% - Énfasis1 2" xfId="117"/>
    <cellStyle name="40% - Énfasis1 3" xfId="118"/>
    <cellStyle name="40% - Énfasis1 4" xfId="119"/>
    <cellStyle name="40% - Énfasis1 5" xfId="120"/>
    <cellStyle name="40% - Énfasis1 6" xfId="121"/>
    <cellStyle name="40% - Énfasis1 7" xfId="122"/>
    <cellStyle name="40% - Énfasis1 8" xfId="123"/>
    <cellStyle name="40% - Énfasis1 9" xfId="124"/>
    <cellStyle name="40% - Énfasis2" xfId="125" builtinId="35"/>
    <cellStyle name="40% - Énfasis2 10" xfId="126"/>
    <cellStyle name="40% - Énfasis2 11" xfId="127"/>
    <cellStyle name="40% - Énfasis2 12" xfId="128"/>
    <cellStyle name="40% - Énfasis2 13" xfId="129"/>
    <cellStyle name="40% - Énfasis2 14" xfId="130"/>
    <cellStyle name="40% - Énfasis2 15" xfId="131"/>
    <cellStyle name="40% - Énfasis2 2" xfId="132"/>
    <cellStyle name="40% - Énfasis2 3" xfId="133"/>
    <cellStyle name="40% - Énfasis2 4" xfId="134"/>
    <cellStyle name="40% - Énfasis2 5" xfId="135"/>
    <cellStyle name="40% - Énfasis2 6" xfId="136"/>
    <cellStyle name="40% - Énfasis2 7" xfId="137"/>
    <cellStyle name="40% - Énfasis2 8" xfId="138"/>
    <cellStyle name="40% - Énfasis2 9" xfId="139"/>
    <cellStyle name="40% - Énfasis3" xfId="140" builtinId="39"/>
    <cellStyle name="40% - Énfasis3 10" xfId="141"/>
    <cellStyle name="40% - Énfasis3 11" xfId="142"/>
    <cellStyle name="40% - Énfasis3 12" xfId="143"/>
    <cellStyle name="40% - Énfasis3 13" xfId="144"/>
    <cellStyle name="40% - Énfasis3 14" xfId="145"/>
    <cellStyle name="40% - Énfasis3 15" xfId="146"/>
    <cellStyle name="40% - Énfasis3 2" xfId="147"/>
    <cellStyle name="40% - Énfasis3 3" xfId="148"/>
    <cellStyle name="40% - Énfasis3 4" xfId="149"/>
    <cellStyle name="40% - Énfasis3 5" xfId="150"/>
    <cellStyle name="40% - Énfasis3 6" xfId="151"/>
    <cellStyle name="40% - Énfasis3 7" xfId="152"/>
    <cellStyle name="40% - Énfasis3 8" xfId="153"/>
    <cellStyle name="40% - Énfasis3 9" xfId="154"/>
    <cellStyle name="40% - Énfasis4" xfId="155" builtinId="43"/>
    <cellStyle name="40% - Énfasis4 10" xfId="156"/>
    <cellStyle name="40% - Énfasis4 11" xfId="157"/>
    <cellStyle name="40% - Énfasis4 12" xfId="158"/>
    <cellStyle name="40% - Énfasis4 13" xfId="159"/>
    <cellStyle name="40% - Énfasis4 14" xfId="160"/>
    <cellStyle name="40% - Énfasis4 15" xfId="161"/>
    <cellStyle name="40% - Énfasis4 2" xfId="162"/>
    <cellStyle name="40% - Énfasis4 3" xfId="163"/>
    <cellStyle name="40% - Énfasis4 4" xfId="164"/>
    <cellStyle name="40% - Énfasis4 5" xfId="165"/>
    <cellStyle name="40% - Énfasis4 6" xfId="166"/>
    <cellStyle name="40% - Énfasis4 7" xfId="167"/>
    <cellStyle name="40% - Énfasis4 8" xfId="168"/>
    <cellStyle name="40% - Énfasis4 9" xfId="169"/>
    <cellStyle name="40% - Énfasis5" xfId="170" builtinId="47"/>
    <cellStyle name="40% - Énfasis5 10" xfId="171"/>
    <cellStyle name="40% - Énfasis5 11" xfId="172"/>
    <cellStyle name="40% - Énfasis5 12" xfId="173"/>
    <cellStyle name="40% - Énfasis5 13" xfId="174"/>
    <cellStyle name="40% - Énfasis5 14" xfId="175"/>
    <cellStyle name="40% - Énfasis5 15" xfId="176"/>
    <cellStyle name="40% - Énfasis5 2" xfId="177"/>
    <cellStyle name="40% - Énfasis5 3" xfId="178"/>
    <cellStyle name="40% - Énfasis5 4" xfId="179"/>
    <cellStyle name="40% - Énfasis5 5" xfId="180"/>
    <cellStyle name="40% - Énfasis5 6" xfId="181"/>
    <cellStyle name="40% - Énfasis5 7" xfId="182"/>
    <cellStyle name="40% - Énfasis5 8" xfId="183"/>
    <cellStyle name="40% - Énfasis5 9" xfId="184"/>
    <cellStyle name="40% - Énfasis6" xfId="185" builtinId="51"/>
    <cellStyle name="40% - Énfasis6 10" xfId="186"/>
    <cellStyle name="40% - Énfasis6 11" xfId="187"/>
    <cellStyle name="40% - Énfasis6 12" xfId="188"/>
    <cellStyle name="40% - Énfasis6 13" xfId="189"/>
    <cellStyle name="40% - Énfasis6 14" xfId="190"/>
    <cellStyle name="40% - Énfasis6 15" xfId="191"/>
    <cellStyle name="40% - Énfasis6 2" xfId="192"/>
    <cellStyle name="40% - Énfasis6 3" xfId="193"/>
    <cellStyle name="40% - Énfasis6 4" xfId="194"/>
    <cellStyle name="40% - Énfasis6 5" xfId="195"/>
    <cellStyle name="40% - Énfasis6 6" xfId="196"/>
    <cellStyle name="40% - Énfasis6 7" xfId="197"/>
    <cellStyle name="40% - Énfasis6 8" xfId="198"/>
    <cellStyle name="40% - Énfasis6 9" xfId="199"/>
    <cellStyle name="60% - Énfasis1" xfId="200" builtinId="32"/>
    <cellStyle name="60% - Énfasis1 2" xfId="201"/>
    <cellStyle name="60% - Énfasis1 3" xfId="202"/>
    <cellStyle name="60% - Énfasis2" xfId="203" builtinId="36"/>
    <cellStyle name="60% - Énfasis2 2" xfId="204"/>
    <cellStyle name="60% - Énfasis2 3" xfId="205"/>
    <cellStyle name="60% - Énfasis3" xfId="206" builtinId="40"/>
    <cellStyle name="60% - Énfasis3 2" xfId="207"/>
    <cellStyle name="60% - Énfasis3 3" xfId="208"/>
    <cellStyle name="60% - Énfasis4" xfId="209" builtinId="44"/>
    <cellStyle name="60% - Énfasis4 2" xfId="210"/>
    <cellStyle name="60% - Énfasis4 3" xfId="211"/>
    <cellStyle name="60% - Énfasis5" xfId="212" builtinId="48"/>
    <cellStyle name="60% - Énfasis5 2" xfId="213"/>
    <cellStyle name="60% - Énfasis5 3" xfId="214"/>
    <cellStyle name="60% - Énfasis6" xfId="215" builtinId="52"/>
    <cellStyle name="60% - Énfasis6 2" xfId="216"/>
    <cellStyle name="60% - Énfasis6 3" xfId="217"/>
    <cellStyle name="Buena 2" xfId="218"/>
    <cellStyle name="Cálculo" xfId="219" builtinId="22"/>
    <cellStyle name="Cálculo 2" xfId="220"/>
    <cellStyle name="Celda de comprobación" xfId="221" builtinId="23"/>
    <cellStyle name="Celda de comprobación 2" xfId="222"/>
    <cellStyle name="Celda vinculada" xfId="223" builtinId="24"/>
    <cellStyle name="Celda vinculada 2" xfId="224"/>
    <cellStyle name="Encabezado 4" xfId="225" builtinId="19"/>
    <cellStyle name="Encabezado 4 2" xfId="226"/>
    <cellStyle name="Énfasis1" xfId="227" builtinId="29"/>
    <cellStyle name="Énfasis1 2" xfId="228"/>
    <cellStyle name="Énfasis2" xfId="229" builtinId="33"/>
    <cellStyle name="Énfasis2 2" xfId="230"/>
    <cellStyle name="Énfasis3" xfId="231" builtinId="37"/>
    <cellStyle name="Énfasis3 2" xfId="232"/>
    <cellStyle name="Énfasis4" xfId="233" builtinId="41"/>
    <cellStyle name="Énfasis4 2" xfId="234"/>
    <cellStyle name="Énfasis5" xfId="235" builtinId="45"/>
    <cellStyle name="Énfasis5 2" xfId="236"/>
    <cellStyle name="Énfasis6" xfId="237" builtinId="49"/>
    <cellStyle name="Énfasis6 2" xfId="238"/>
    <cellStyle name="Entrada" xfId="239" builtinId="20"/>
    <cellStyle name="Entrada 2" xfId="240"/>
    <cellStyle name="Incorrecto" xfId="241" builtinId="27"/>
    <cellStyle name="Incorrecto 2" xfId="242"/>
    <cellStyle name="Millares" xfId="243" builtinId="3"/>
    <cellStyle name="Millares [0]" xfId="244" builtinId="6"/>
    <cellStyle name="Millares 2" xfId="245"/>
    <cellStyle name="Millares 2 2" xfId="246"/>
    <cellStyle name="Moneda 2" xfId="247"/>
    <cellStyle name="Neutral" xfId="248" builtinId="28"/>
    <cellStyle name="Neutral 2" xfId="249"/>
    <cellStyle name="Neutral 3" xfId="250"/>
    <cellStyle name="Normal 10" xfId="251"/>
    <cellStyle name="Normal 10 2" xfId="252"/>
    <cellStyle name="Normal 100" xfId="253"/>
    <cellStyle name="Normal 101" xfId="254"/>
    <cellStyle name="Normal 102" xfId="255"/>
    <cellStyle name="Normal 103" xfId="256"/>
    <cellStyle name="Normal 104" xfId="257"/>
    <cellStyle name="Normal 105" xfId="258"/>
    <cellStyle name="Normal 106" xfId="259"/>
    <cellStyle name="Normal 107" xfId="260"/>
    <cellStyle name="Normal 108" xfId="261"/>
    <cellStyle name="Normal 11" xfId="262"/>
    <cellStyle name="Normal 11 2" xfId="263"/>
    <cellStyle name="Normal 12" xfId="264"/>
    <cellStyle name="Normal 12 2" xfId="265"/>
    <cellStyle name="Normal 13" xfId="266"/>
    <cellStyle name="Normal 13 2" xfId="267"/>
    <cellStyle name="Normal 14" xfId="268"/>
    <cellStyle name="Normal 14 2" xfId="269"/>
    <cellStyle name="Normal 15" xfId="270"/>
    <cellStyle name="Normal 15 2" xfId="271"/>
    <cellStyle name="Normal 16" xfId="272"/>
    <cellStyle name="Normal 16 2" xfId="273"/>
    <cellStyle name="Normal 17" xfId="274"/>
    <cellStyle name="Normal 17 2" xfId="275"/>
    <cellStyle name="Normal 18" xfId="276"/>
    <cellStyle name="Normal 18 2" xfId="277"/>
    <cellStyle name="Normal 19" xfId="278"/>
    <cellStyle name="Normal 19 2" xfId="279"/>
    <cellStyle name="Normal 2" xfId="280"/>
    <cellStyle name="Normal 2 2" xfId="281"/>
    <cellStyle name="Normal 2 3" xfId="282"/>
    <cellStyle name="Normal 20" xfId="283"/>
    <cellStyle name="Normal 20 2" xfId="284"/>
    <cellStyle name="Normal 21" xfId="285"/>
    <cellStyle name="Normal 22" xfId="286"/>
    <cellStyle name="Normal 23" xfId="287"/>
    <cellStyle name="Normal 24" xfId="288"/>
    <cellStyle name="Normal 25" xfId="289"/>
    <cellStyle name="Normal 26" xfId="290"/>
    <cellStyle name="Normal 27" xfId="291"/>
    <cellStyle name="Normal 28" xfId="292"/>
    <cellStyle name="Normal 29" xfId="293"/>
    <cellStyle name="Normal 3" xfId="294"/>
    <cellStyle name="Normal 3 2" xfId="295"/>
    <cellStyle name="Normal 3 3" xfId="296"/>
    <cellStyle name="Normal 30" xfId="297"/>
    <cellStyle name="Normal 31" xfId="298"/>
    <cellStyle name="Normal 32" xfId="299"/>
    <cellStyle name="Normal 33" xfId="300"/>
    <cellStyle name="Normal 34" xfId="301"/>
    <cellStyle name="Normal 35" xfId="302"/>
    <cellStyle name="Normal 36" xfId="303"/>
    <cellStyle name="Normal 37" xfId="304"/>
    <cellStyle name="Normal 38" xfId="305"/>
    <cellStyle name="Normal 39" xfId="306"/>
    <cellStyle name="Normal 4" xfId="307"/>
    <cellStyle name="Normal 4 2" xfId="308"/>
    <cellStyle name="Normal 4 3" xfId="309"/>
    <cellStyle name="Normal 40" xfId="310"/>
    <cellStyle name="Normal 41" xfId="311"/>
    <cellStyle name="Normal 42" xfId="312"/>
    <cellStyle name="Normal 43" xfId="313"/>
    <cellStyle name="Normal 44" xfId="314"/>
    <cellStyle name="Normal 45" xfId="315"/>
    <cellStyle name="Normal 46" xfId="316"/>
    <cellStyle name="Normal 47" xfId="317"/>
    <cellStyle name="Normal 48" xfId="318"/>
    <cellStyle name="Normal 49" xfId="319"/>
    <cellStyle name="Normal 5" xfId="320"/>
    <cellStyle name="Normal 5 2"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0" xfId="334"/>
    <cellStyle name="Normal 61" xfId="335"/>
    <cellStyle name="Normal 62" xfId="336"/>
    <cellStyle name="Normal 63" xfId="337"/>
    <cellStyle name="Normal 64" xfId="338"/>
    <cellStyle name="Normal 65" xfId="339"/>
    <cellStyle name="Normal 66" xfId="340"/>
    <cellStyle name="Normal 67" xfId="341"/>
    <cellStyle name="Normal 68" xfId="342"/>
    <cellStyle name="Normal 69" xfId="343"/>
    <cellStyle name="Normal 7" xfId="344"/>
    <cellStyle name="Normal 7 2" xfId="345"/>
    <cellStyle name="Normal 70" xfId="346"/>
    <cellStyle name="Normal 71" xfId="347"/>
    <cellStyle name="Normal 72" xfId="348"/>
    <cellStyle name="Normal 73" xfId="349"/>
    <cellStyle name="Normal 74" xfId="350"/>
    <cellStyle name="Normal 75" xfId="351"/>
    <cellStyle name="Normal 76" xfId="352"/>
    <cellStyle name="Normal 77" xfId="353"/>
    <cellStyle name="Normal 78" xfId="354"/>
    <cellStyle name="Normal 79" xfId="355"/>
    <cellStyle name="Normal 8" xfId="356"/>
    <cellStyle name="Normal 8 2" xfId="357"/>
    <cellStyle name="Normal 80" xfId="358"/>
    <cellStyle name="Normal 81" xfId="359"/>
    <cellStyle name="Normal 82" xfId="360"/>
    <cellStyle name="Normal 83" xfId="361"/>
    <cellStyle name="Normal 84" xfId="362"/>
    <cellStyle name="Normal 85" xfId="363"/>
    <cellStyle name="Normal 86" xfId="364"/>
    <cellStyle name="Normal 87" xfId="365"/>
    <cellStyle name="Normal 88" xfId="366"/>
    <cellStyle name="Normal 89" xfId="367"/>
    <cellStyle name="Normal 9" xfId="368"/>
    <cellStyle name="Normal 9 2" xfId="369"/>
    <cellStyle name="Normal 90" xfId="370"/>
    <cellStyle name="Normal 91" xfId="371"/>
    <cellStyle name="Normal 92" xfId="372"/>
    <cellStyle name="Normal 93" xfId="373"/>
    <cellStyle name="Normal 94" xfId="374"/>
    <cellStyle name="Normal 95" xfId="375"/>
    <cellStyle name="Normal 96" xfId="376"/>
    <cellStyle name="Normal 97" xfId="377"/>
    <cellStyle name="Normal 98" xfId="378"/>
    <cellStyle name="Normal 99" xfId="379"/>
    <cellStyle name="Notas 10" xfId="380"/>
    <cellStyle name="Notas 11" xfId="381"/>
    <cellStyle name="Notas 12" xfId="382"/>
    <cellStyle name="Notas 13" xfId="383"/>
    <cellStyle name="Notas 14" xfId="384"/>
    <cellStyle name="Notas 15" xfId="385"/>
    <cellStyle name="Notas 16" xfId="386"/>
    <cellStyle name="Notas 2" xfId="387"/>
    <cellStyle name="Notas 3" xfId="388"/>
    <cellStyle name="Notas 4" xfId="389"/>
    <cellStyle name="Notas 5" xfId="390"/>
    <cellStyle name="Notas 6" xfId="391"/>
    <cellStyle name="Notas 7" xfId="392"/>
    <cellStyle name="Notas 8" xfId="393"/>
    <cellStyle name="Notas 9" xfId="394"/>
    <cellStyle name="Porcentaje 2" xfId="395"/>
    <cellStyle name="Porcentual 2" xfId="396"/>
    <cellStyle name="Salida" xfId="397" builtinId="21"/>
    <cellStyle name="Salida 2" xfId="398"/>
    <cellStyle name="Texto de advertencia" xfId="399" builtinId="11"/>
    <cellStyle name="Texto de advertencia 2" xfId="400"/>
    <cellStyle name="Texto explicativo" xfId="401" builtinId="53"/>
    <cellStyle name="Texto explicativo 2" xfId="402"/>
    <cellStyle name="Título" xfId="403" builtinId="15"/>
    <cellStyle name="Título 1 2" xfId="404"/>
    <cellStyle name="Título 2" xfId="405" builtinId="17"/>
    <cellStyle name="Título 2 2" xfId="406"/>
    <cellStyle name="Título 3" xfId="407" builtinId="18"/>
    <cellStyle name="Título 3 2" xfId="408"/>
    <cellStyle name="Título 4" xfId="409"/>
    <cellStyle name="Título 5" xfId="410"/>
    <cellStyle name="Total" xfId="411" builtinId="25"/>
    <cellStyle name="Total 2" xfId="41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6" Type="http://schemas.openxmlformats.org/officeDocument/2006/relationships/worksheet" Target="worksheets/sheet4.xml" /><Relationship Id="rId5" Type="http://schemas.openxmlformats.org/officeDocument/2006/relationships/worksheet" Target="worksheets/sheet3.xml" /><Relationship Id="rId4" Type="http://schemas.openxmlformats.org/officeDocument/2006/relationships/worksheet" Target="worksheets/sheet2.xml" /><Relationship Id="rId11" Type="http://schemas.openxmlformats.org/officeDocument/2006/relationships/worksheet" Target="worksheets/sheet9.xml" /><Relationship Id="rId9" Type="http://schemas.openxmlformats.org/officeDocument/2006/relationships/worksheet" Target="worksheets/sheet7.xml" /><Relationship Id="rId7" Type="http://schemas.openxmlformats.org/officeDocument/2006/relationships/worksheet" Target="worksheets/sheet5.xml" /><Relationship Id="rId8" Type="http://schemas.openxmlformats.org/officeDocument/2006/relationships/worksheet" Target="worksheets/sheet6.xml" /><Relationship Id="rId2" Type="http://schemas.openxmlformats.org/officeDocument/2006/relationships/styles" Target="styles.xml" /><Relationship Id="rId12" Type="http://schemas.openxmlformats.org/officeDocument/2006/relationships/sharedStrings" Target="sharedStrings.xml" /><Relationship Id="rId1" Type="http://schemas.openxmlformats.org/officeDocument/2006/relationships/theme" Target="theme/theme1.xml" /><Relationship Id="rId13" Type="http://schemas.openxmlformats.org/officeDocument/2006/relationships/calcChain" Target="calcChain.xml" /><Relationship Id="rId10" Type="http://schemas.openxmlformats.org/officeDocument/2006/relationships/worksheet" Target="worksheets/sheet8.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384"/>
  <sheetViews>
    <sheetView workbookViewId="0" topLeftCell="A1">
      <selection pane="topLeft" activeCell="A7" sqref="A7:XFD18"/>
    </sheetView>
  </sheetViews>
  <sheetFormatPr defaultColWidth="11.424285714285714" defaultRowHeight="15"/>
  <cols>
    <col min="1" max="1" width="15.142857142857142" style="3" customWidth="1"/>
    <col min="2" max="2" width="17.285714285714285" style="165" customWidth="1"/>
    <col min="3" max="4" width="14.714285714285714" style="3" customWidth="1"/>
    <col min="5" max="5" width="15.714285714285714" style="236" customWidth="1"/>
    <col min="6" max="6" width="14.714285714285714" style="236" customWidth="1"/>
    <col min="7" max="8" width="15.714285714285714" style="236" customWidth="1"/>
    <col min="9" max="10" width="15.714285714285714" style="3" customWidth="1"/>
    <col min="11" max="11" width="15.714285714285714" style="195" customWidth="1"/>
    <col min="12" max="16384" width="11.428571428571429" style="3"/>
  </cols>
  <sheetData>
    <row r="1" spans="1:10" ht="12.75" customHeight="1">
      <c r="A1" s="1" t="s">
        <v>35</v>
      </c>
      <c r="B1" s="160"/>
      <c r="C1" s="1"/>
      <c r="D1" s="1"/>
      <c r="E1" s="216"/>
      <c r="F1" s="217"/>
      <c r="G1" s="216"/>
      <c r="H1" s="216"/>
      <c r="I1" s="2"/>
      <c r="J1" s="2"/>
    </row>
    <row r="2" spans="1:11" ht="12.75" customHeight="1">
      <c r="A2" s="2"/>
      <c r="B2" s="161"/>
      <c r="C2" s="2"/>
      <c r="D2" s="2"/>
      <c r="E2" s="216"/>
      <c r="F2" s="216"/>
      <c r="G2" s="216"/>
      <c r="H2" s="216"/>
      <c r="I2" s="2"/>
      <c r="J2" s="2"/>
      <c r="K2" s="196"/>
    </row>
    <row r="3" spans="1:11" ht="15" customHeight="1">
      <c r="A3" s="284" t="s">
        <v>278</v>
      </c>
      <c r="B3" s="284"/>
      <c r="C3" s="284"/>
      <c r="D3" s="284"/>
      <c r="E3" s="284"/>
      <c r="F3" s="284"/>
      <c r="G3" s="284"/>
      <c r="H3" s="284"/>
      <c r="I3" s="284"/>
      <c r="J3" s="284"/>
      <c r="K3" s="197" t="s">
        <v>3889</v>
      </c>
    </row>
    <row r="4" spans="1:11" ht="12.75" customHeight="1">
      <c r="A4" s="4"/>
      <c r="B4" s="162"/>
      <c r="C4" s="4"/>
      <c r="D4" s="4"/>
      <c r="E4" s="218"/>
      <c r="F4" s="218"/>
      <c r="G4" s="218"/>
      <c r="H4" s="218"/>
      <c r="I4" s="4"/>
      <c r="J4" s="4"/>
      <c r="K4" s="198"/>
    </row>
    <row r="5" spans="1:11" ht="15">
      <c r="A5" s="287" t="s">
        <v>5</v>
      </c>
      <c r="B5" s="292" t="s">
        <v>26</v>
      </c>
      <c r="C5" s="33"/>
      <c r="D5" s="287" t="s">
        <v>17</v>
      </c>
      <c r="E5" s="289" t="s">
        <v>16</v>
      </c>
      <c r="F5" s="290"/>
      <c r="G5" s="290"/>
      <c r="H5" s="291"/>
      <c r="I5" s="287" t="s">
        <v>7</v>
      </c>
      <c r="J5" s="294" t="s">
        <v>21</v>
      </c>
      <c r="K5" s="295"/>
    </row>
    <row r="6" spans="1:11" ht="26.25" customHeight="1">
      <c r="A6" s="288"/>
      <c r="B6" s="293"/>
      <c r="C6" s="34"/>
      <c r="D6" s="288"/>
      <c r="E6" s="289" t="s">
        <v>2</v>
      </c>
      <c r="F6" s="290"/>
      <c r="G6" s="290"/>
      <c r="H6" s="291"/>
      <c r="I6" s="288"/>
      <c r="J6" s="296"/>
      <c r="K6" s="297"/>
    </row>
    <row r="7" spans="1:11" ht="15" customHeight="1">
      <c r="A7" s="253"/>
      <c r="B7" s="215"/>
      <c r="C7" s="145"/>
      <c r="D7" s="257"/>
      <c r="E7" s="178"/>
      <c r="F7" s="219"/>
      <c r="G7" s="220"/>
      <c r="H7" s="221"/>
      <c r="I7" s="268"/>
      <c r="J7" s="8"/>
      <c r="K7" s="184"/>
    </row>
    <row r="8" spans="1:11" ht="15" customHeight="1">
      <c r="A8" s="253"/>
      <c r="B8" s="215"/>
      <c r="C8" s="145"/>
      <c r="D8" s="257"/>
      <c r="E8" s="178"/>
      <c r="F8" s="219"/>
      <c r="G8" s="220"/>
      <c r="H8" s="221"/>
      <c r="I8" s="268"/>
      <c r="J8" s="8"/>
      <c r="K8" s="184"/>
    </row>
    <row r="9" spans="1:11" ht="15">
      <c r="A9" s="17"/>
      <c r="B9" s="163"/>
      <c r="C9" s="18"/>
      <c r="D9" s="18"/>
      <c r="E9" s="223"/>
      <c r="F9" s="223"/>
      <c r="G9" s="285" t="s">
        <v>19</v>
      </c>
      <c r="H9" s="286"/>
      <c r="I9" s="19">
        <f>SUM(I7:I8)</f>
        <v>0</v>
      </c>
      <c r="J9" s="20"/>
      <c r="K9" s="199"/>
    </row>
    <row r="10" spans="1:11" ht="15">
      <c r="A10" s="287" t="s">
        <v>5</v>
      </c>
      <c r="B10" s="154" t="s">
        <v>13</v>
      </c>
      <c r="C10" s="35" t="s">
        <v>20</v>
      </c>
      <c r="D10" s="24" t="s">
        <v>20</v>
      </c>
      <c r="E10" s="289" t="s">
        <v>15</v>
      </c>
      <c r="F10" s="290"/>
      <c r="G10" s="290"/>
      <c r="H10" s="291"/>
      <c r="I10" s="287" t="s">
        <v>7</v>
      </c>
      <c r="J10" s="287" t="s">
        <v>6</v>
      </c>
      <c r="K10" s="200" t="s">
        <v>0</v>
      </c>
    </row>
    <row r="11" spans="1:11" ht="15">
      <c r="A11" s="288"/>
      <c r="B11" s="155" t="s">
        <v>14</v>
      </c>
      <c r="C11" s="36" t="s">
        <v>11</v>
      </c>
      <c r="D11" s="36" t="s">
        <v>10</v>
      </c>
      <c r="E11" s="289" t="s">
        <v>2</v>
      </c>
      <c r="F11" s="291"/>
      <c r="G11" s="289" t="s">
        <v>8</v>
      </c>
      <c r="H11" s="291"/>
      <c r="I11" s="288"/>
      <c r="J11" s="288"/>
      <c r="K11" s="201" t="s">
        <v>1</v>
      </c>
    </row>
    <row r="12" spans="1:11" ht="12.75" customHeight="1">
      <c r="A12" s="25">
        <v>44202</v>
      </c>
      <c r="B12" s="156">
        <v>36</v>
      </c>
      <c r="C12" s="69">
        <v>54</v>
      </c>
      <c r="D12" s="69">
        <v>13</v>
      </c>
      <c r="E12" s="224" t="s">
        <v>487</v>
      </c>
      <c r="F12" s="219"/>
      <c r="G12" s="114" t="s">
        <v>107</v>
      </c>
      <c r="H12" s="225"/>
      <c r="I12" s="26">
        <v>33174000</v>
      </c>
      <c r="J12" s="268">
        <v>33174000</v>
      </c>
      <c r="K12" s="100">
        <f>+I12-J12</f>
        <v>0</v>
      </c>
    </row>
    <row r="13" spans="1:11" ht="15">
      <c r="A13" s="25">
        <v>44202</v>
      </c>
      <c r="B13" s="157">
        <v>37</v>
      </c>
      <c r="C13" s="71">
        <v>50</v>
      </c>
      <c r="D13" s="71">
        <v>24</v>
      </c>
      <c r="E13" s="224" t="s">
        <v>488</v>
      </c>
      <c r="F13" s="226"/>
      <c r="G13" s="115" t="s">
        <v>207</v>
      </c>
      <c r="H13" s="227"/>
      <c r="I13" s="26">
        <v>33174000</v>
      </c>
      <c r="J13" s="268">
        <v>33174000</v>
      </c>
      <c r="K13" s="100">
        <f t="shared" si="0" ref="K13:K76">+I13-J13</f>
        <v>0</v>
      </c>
    </row>
    <row r="14" spans="1:11" ht="15">
      <c r="A14" s="25">
        <v>44203</v>
      </c>
      <c r="B14" s="157">
        <v>40</v>
      </c>
      <c r="C14" s="71">
        <v>114</v>
      </c>
      <c r="D14" s="71">
        <v>36</v>
      </c>
      <c r="E14" s="224" t="s">
        <v>489</v>
      </c>
      <c r="F14" s="226"/>
      <c r="G14" s="115" t="s">
        <v>176</v>
      </c>
      <c r="H14" s="227"/>
      <c r="I14" s="26">
        <v>77543833</v>
      </c>
      <c r="J14" s="268">
        <v>77325400</v>
      </c>
      <c r="K14" s="100">
        <f t="shared" si="0"/>
        <v>218433</v>
      </c>
    </row>
    <row r="15" spans="1:11" ht="15">
      <c r="A15" s="25">
        <v>44203</v>
      </c>
      <c r="B15" s="157">
        <v>69</v>
      </c>
      <c r="C15" s="71">
        <v>96</v>
      </c>
      <c r="D15" s="71">
        <v>50</v>
      </c>
      <c r="E15" s="224" t="s">
        <v>490</v>
      </c>
      <c r="F15" s="226"/>
      <c r="G15" s="115" t="s">
        <v>45</v>
      </c>
      <c r="H15" s="227"/>
      <c r="I15" s="26">
        <v>39318000</v>
      </c>
      <c r="J15" s="268">
        <v>39318000</v>
      </c>
      <c r="K15" s="100">
        <f t="shared" si="0"/>
        <v>0</v>
      </c>
    </row>
    <row r="16" spans="1:11" ht="15">
      <c r="A16" s="27">
        <v>44204</v>
      </c>
      <c r="B16" s="157">
        <v>68</v>
      </c>
      <c r="C16" s="28">
        <v>124</v>
      </c>
      <c r="D16" s="28">
        <v>62</v>
      </c>
      <c r="E16" s="228" t="s">
        <v>491</v>
      </c>
      <c r="F16" s="226"/>
      <c r="G16" s="115" t="s">
        <v>114</v>
      </c>
      <c r="H16" s="229"/>
      <c r="I16" s="26">
        <v>39321600</v>
      </c>
      <c r="J16" s="268">
        <v>39321599</v>
      </c>
      <c r="K16" s="100">
        <f t="shared" si="0"/>
        <v>1</v>
      </c>
    </row>
    <row r="17" spans="1:11" ht="15">
      <c r="A17" s="27">
        <v>44204</v>
      </c>
      <c r="B17" s="157">
        <v>80</v>
      </c>
      <c r="C17" s="28">
        <v>126</v>
      </c>
      <c r="D17" s="28">
        <v>68</v>
      </c>
      <c r="E17" s="116" t="s">
        <v>492</v>
      </c>
      <c r="F17" s="226"/>
      <c r="G17" s="115" t="s">
        <v>111</v>
      </c>
      <c r="H17" s="229"/>
      <c r="I17" s="283">
        <f>50892800-1290240</f>
        <v>49602560</v>
      </c>
      <c r="J17" s="268">
        <v>49602560</v>
      </c>
      <c r="K17" s="100">
        <f t="shared" si="0"/>
        <v>0</v>
      </c>
    </row>
    <row r="18" spans="1:11" ht="15">
      <c r="A18" s="27">
        <v>44208</v>
      </c>
      <c r="B18" s="157">
        <v>102</v>
      </c>
      <c r="C18" s="28">
        <v>158</v>
      </c>
      <c r="D18" s="28">
        <v>102</v>
      </c>
      <c r="E18" s="116" t="s">
        <v>493</v>
      </c>
      <c r="F18" s="226"/>
      <c r="G18" s="115" t="s">
        <v>374</v>
      </c>
      <c r="H18" s="229"/>
      <c r="I18" s="193">
        <f>60586667-1194667</f>
        <v>59392000</v>
      </c>
      <c r="J18" s="268">
        <v>59392000</v>
      </c>
      <c r="K18" s="100">
        <f t="shared" si="0"/>
        <v>0</v>
      </c>
    </row>
    <row r="19" spans="1:11" ht="15">
      <c r="A19" s="27">
        <v>44209</v>
      </c>
      <c r="B19" s="157">
        <v>41</v>
      </c>
      <c r="C19" s="28">
        <v>40</v>
      </c>
      <c r="D19" s="28">
        <v>127</v>
      </c>
      <c r="E19" s="116" t="s">
        <v>494</v>
      </c>
      <c r="F19" s="226"/>
      <c r="G19" s="115" t="s">
        <v>218</v>
      </c>
      <c r="H19" s="229"/>
      <c r="I19" s="193">
        <v>38400000</v>
      </c>
      <c r="J19" s="268">
        <v>37760000</v>
      </c>
      <c r="K19" s="100">
        <f t="shared" si="0"/>
        <v>640000</v>
      </c>
    </row>
    <row r="20" spans="1:11" ht="15">
      <c r="A20" s="27">
        <v>44210</v>
      </c>
      <c r="B20" s="157" t="s">
        <v>531</v>
      </c>
      <c r="C20" s="28">
        <v>242</v>
      </c>
      <c r="D20" s="28">
        <v>139</v>
      </c>
      <c r="E20" s="116" t="s">
        <v>495</v>
      </c>
      <c r="F20" s="226"/>
      <c r="G20" s="115" t="s">
        <v>294</v>
      </c>
      <c r="H20" s="229"/>
      <c r="I20" s="193">
        <v>235740</v>
      </c>
      <c r="J20" s="268">
        <v>235740</v>
      </c>
      <c r="K20" s="100">
        <f t="shared" si="0"/>
        <v>0</v>
      </c>
    </row>
    <row r="21" spans="1:11" ht="15">
      <c r="A21" s="27">
        <v>44210</v>
      </c>
      <c r="B21" s="157">
        <v>618721552</v>
      </c>
      <c r="C21" s="28">
        <v>242</v>
      </c>
      <c r="D21" s="28">
        <v>140</v>
      </c>
      <c r="E21" s="116" t="s">
        <v>496</v>
      </c>
      <c r="F21" s="226"/>
      <c r="G21" s="115" t="s">
        <v>43</v>
      </c>
      <c r="H21" s="229"/>
      <c r="I21" s="193">
        <v>462910</v>
      </c>
      <c r="J21" s="268">
        <v>462910</v>
      </c>
      <c r="K21" s="100">
        <f t="shared" si="0"/>
        <v>0</v>
      </c>
    </row>
    <row r="22" spans="1:11" ht="15">
      <c r="A22" s="27">
        <v>44210</v>
      </c>
      <c r="B22" s="157">
        <v>20541906317</v>
      </c>
      <c r="C22" s="28">
        <v>242</v>
      </c>
      <c r="D22" s="28">
        <v>141</v>
      </c>
      <c r="E22" s="116" t="s">
        <v>497</v>
      </c>
      <c r="F22" s="226"/>
      <c r="G22" s="115" t="s">
        <v>42</v>
      </c>
      <c r="H22" s="229"/>
      <c r="I22" s="193">
        <v>583390</v>
      </c>
      <c r="J22" s="268">
        <v>583390</v>
      </c>
      <c r="K22" s="100">
        <f t="shared" si="0"/>
        <v>0</v>
      </c>
    </row>
    <row r="23" spans="1:11" ht="15">
      <c r="A23" s="27">
        <v>44211</v>
      </c>
      <c r="B23" s="157">
        <v>184</v>
      </c>
      <c r="C23" s="28">
        <v>240</v>
      </c>
      <c r="D23" s="28">
        <v>171</v>
      </c>
      <c r="E23" s="116" t="s">
        <v>498</v>
      </c>
      <c r="F23" s="226"/>
      <c r="G23" s="115" t="s">
        <v>109</v>
      </c>
      <c r="H23" s="229"/>
      <c r="I23" s="193">
        <f>73600000-426667</f>
        <v>73173333</v>
      </c>
      <c r="J23" s="268">
        <v>73173333</v>
      </c>
      <c r="K23" s="100">
        <f t="shared" si="0"/>
        <v>0</v>
      </c>
    </row>
    <row r="24" spans="1:11" ht="15">
      <c r="A24" s="27">
        <v>44211</v>
      </c>
      <c r="B24" s="157">
        <v>172</v>
      </c>
      <c r="C24" s="28">
        <v>226</v>
      </c>
      <c r="D24" s="28">
        <v>198</v>
      </c>
      <c r="E24" s="116" t="s">
        <v>383</v>
      </c>
      <c r="F24" s="226"/>
      <c r="G24" s="115" t="s">
        <v>399</v>
      </c>
      <c r="H24" s="229"/>
      <c r="I24" s="193">
        <v>45971411</v>
      </c>
      <c r="J24" s="268">
        <v>33046115</v>
      </c>
      <c r="K24" s="100">
        <f t="shared" si="0"/>
        <v>12925296</v>
      </c>
    </row>
    <row r="25" spans="1:11" ht="15">
      <c r="A25" s="27">
        <v>44214</v>
      </c>
      <c r="B25" s="157">
        <v>216</v>
      </c>
      <c r="C25" s="28">
        <v>276</v>
      </c>
      <c r="D25" s="28">
        <v>212</v>
      </c>
      <c r="E25" s="116" t="s">
        <v>499</v>
      </c>
      <c r="F25" s="226"/>
      <c r="G25" s="115" t="s">
        <v>206</v>
      </c>
      <c r="H25" s="229"/>
      <c r="I25" s="193">
        <f>25804800-22220800</f>
        <v>3584000</v>
      </c>
      <c r="J25" s="268">
        <v>3584000</v>
      </c>
      <c r="K25" s="100">
        <f t="shared" si="0"/>
        <v>0</v>
      </c>
    </row>
    <row r="26" spans="1:11" ht="15">
      <c r="A26" s="27">
        <v>44214</v>
      </c>
      <c r="B26" s="157">
        <v>217</v>
      </c>
      <c r="C26" s="28">
        <v>258</v>
      </c>
      <c r="D26" s="28">
        <v>214</v>
      </c>
      <c r="E26" s="116" t="s">
        <v>383</v>
      </c>
      <c r="F26" s="226"/>
      <c r="G26" s="115" t="s">
        <v>117</v>
      </c>
      <c r="H26" s="229"/>
      <c r="I26" s="193">
        <f>74750000-866667</f>
        <v>73883333</v>
      </c>
      <c r="J26" s="268">
        <v>73883333</v>
      </c>
      <c r="K26" s="100">
        <f t="shared" si="0"/>
        <v>0</v>
      </c>
    </row>
    <row r="27" spans="1:11" ht="15">
      <c r="A27" s="27">
        <v>44214</v>
      </c>
      <c r="B27" s="157">
        <v>218</v>
      </c>
      <c r="C27" s="28">
        <v>259</v>
      </c>
      <c r="D27" s="28">
        <v>216</v>
      </c>
      <c r="E27" s="116" t="s">
        <v>500</v>
      </c>
      <c r="F27" s="226"/>
      <c r="G27" s="115" t="s">
        <v>470</v>
      </c>
      <c r="H27" s="229"/>
      <c r="I27" s="193">
        <f>74750000-65866667</f>
        <v>8883333</v>
      </c>
      <c r="J27" s="268">
        <v>8883333</v>
      </c>
      <c r="K27" s="100">
        <f t="shared" si="0"/>
        <v>0</v>
      </c>
    </row>
    <row r="28" spans="1:11" ht="15">
      <c r="A28" s="27">
        <v>44215</v>
      </c>
      <c r="B28" s="157">
        <v>243</v>
      </c>
      <c r="C28" s="28">
        <v>340</v>
      </c>
      <c r="D28" s="28">
        <v>241</v>
      </c>
      <c r="E28" s="116" t="s">
        <v>501</v>
      </c>
      <c r="F28" s="226"/>
      <c r="G28" s="115" t="s">
        <v>484</v>
      </c>
      <c r="H28" s="229"/>
      <c r="I28" s="193">
        <v>33000000</v>
      </c>
      <c r="J28" s="268">
        <v>33000000</v>
      </c>
      <c r="K28" s="100">
        <f t="shared" si="0"/>
        <v>0</v>
      </c>
    </row>
    <row r="29" spans="1:11" ht="15">
      <c r="A29" s="27">
        <v>44216</v>
      </c>
      <c r="B29" s="157">
        <v>242</v>
      </c>
      <c r="C29" s="28">
        <v>318</v>
      </c>
      <c r="D29" s="28">
        <v>245</v>
      </c>
      <c r="E29" s="116" t="s">
        <v>489</v>
      </c>
      <c r="F29" s="226"/>
      <c r="G29" s="115" t="s">
        <v>309</v>
      </c>
      <c r="H29" s="229"/>
      <c r="I29" s="193">
        <v>27033600</v>
      </c>
      <c r="J29" s="268">
        <v>27033600</v>
      </c>
      <c r="K29" s="100">
        <f t="shared" si="0"/>
        <v>0</v>
      </c>
    </row>
    <row r="30" spans="1:11" ht="15">
      <c r="A30" s="27">
        <v>44216</v>
      </c>
      <c r="B30" s="157">
        <v>245</v>
      </c>
      <c r="C30" s="28">
        <v>319</v>
      </c>
      <c r="D30" s="28">
        <v>249</v>
      </c>
      <c r="E30" s="116" t="s">
        <v>502</v>
      </c>
      <c r="F30" s="226"/>
      <c r="G30" s="115" t="s">
        <v>177</v>
      </c>
      <c r="H30" s="229"/>
      <c r="I30" s="193">
        <v>36864000</v>
      </c>
      <c r="J30" s="268">
        <v>36864000</v>
      </c>
      <c r="K30" s="100">
        <f t="shared" si="0"/>
        <v>0</v>
      </c>
    </row>
    <row r="31" spans="1:11" ht="15">
      <c r="A31" s="27">
        <v>44217</v>
      </c>
      <c r="B31" s="157">
        <v>267</v>
      </c>
      <c r="C31" s="28">
        <v>363</v>
      </c>
      <c r="D31" s="28">
        <v>272</v>
      </c>
      <c r="E31" s="116" t="s">
        <v>503</v>
      </c>
      <c r="F31" s="226"/>
      <c r="G31" s="115" t="s">
        <v>98</v>
      </c>
      <c r="H31" s="229"/>
      <c r="I31" s="193">
        <v>39936000</v>
      </c>
      <c r="J31" s="268">
        <v>39936000</v>
      </c>
      <c r="K31" s="100">
        <f t="shared" si="0"/>
        <v>0</v>
      </c>
    </row>
    <row r="32" spans="1:11" ht="15">
      <c r="A32" s="27">
        <v>44217</v>
      </c>
      <c r="B32" s="157">
        <v>9806</v>
      </c>
      <c r="C32" s="28">
        <v>242</v>
      </c>
      <c r="D32" s="28">
        <v>273</v>
      </c>
      <c r="E32" s="116" t="s">
        <v>504</v>
      </c>
      <c r="F32" s="226"/>
      <c r="G32" s="115" t="s">
        <v>372</v>
      </c>
      <c r="H32" s="229"/>
      <c r="I32" s="193">
        <v>269900</v>
      </c>
      <c r="J32" s="268">
        <v>269900</v>
      </c>
      <c r="K32" s="100">
        <f t="shared" si="0"/>
        <v>0</v>
      </c>
    </row>
    <row r="33" spans="1:11" ht="15">
      <c r="A33" s="27">
        <v>44217</v>
      </c>
      <c r="B33" s="157">
        <v>33758990916</v>
      </c>
      <c r="C33" s="28">
        <v>242</v>
      </c>
      <c r="D33" s="28">
        <v>274</v>
      </c>
      <c r="E33" s="116" t="s">
        <v>505</v>
      </c>
      <c r="F33" s="226"/>
      <c r="G33" s="115" t="s">
        <v>42</v>
      </c>
      <c r="H33" s="229"/>
      <c r="I33" s="193">
        <v>118550</v>
      </c>
      <c r="J33" s="268">
        <v>118550</v>
      </c>
      <c r="K33" s="100">
        <f t="shared" si="0"/>
        <v>0</v>
      </c>
    </row>
    <row r="34" spans="1:11" ht="15">
      <c r="A34" s="27">
        <v>44217</v>
      </c>
      <c r="B34" s="157">
        <v>270</v>
      </c>
      <c r="C34" s="28">
        <v>361</v>
      </c>
      <c r="D34" s="28">
        <v>277</v>
      </c>
      <c r="E34" s="116" t="s">
        <v>506</v>
      </c>
      <c r="F34" s="226"/>
      <c r="G34" s="115" t="s">
        <v>115</v>
      </c>
      <c r="H34" s="229"/>
      <c r="I34" s="193">
        <v>27000000</v>
      </c>
      <c r="J34" s="268">
        <v>27000000</v>
      </c>
      <c r="K34" s="100">
        <f t="shared" si="0"/>
        <v>0</v>
      </c>
    </row>
    <row r="35" spans="1:11" ht="15">
      <c r="A35" s="27">
        <v>44217</v>
      </c>
      <c r="B35" s="157">
        <v>283</v>
      </c>
      <c r="C35" s="28">
        <v>329</v>
      </c>
      <c r="D35" s="28">
        <v>284</v>
      </c>
      <c r="E35" s="116" t="s">
        <v>507</v>
      </c>
      <c r="F35" s="226"/>
      <c r="G35" s="115" t="s">
        <v>312</v>
      </c>
      <c r="H35" s="229"/>
      <c r="I35" s="193">
        <v>25804800</v>
      </c>
      <c r="J35" s="268">
        <v>25804800</v>
      </c>
      <c r="K35" s="100">
        <f t="shared" si="0"/>
        <v>0</v>
      </c>
    </row>
    <row r="36" spans="1:11" ht="15">
      <c r="A36" s="27">
        <v>44218</v>
      </c>
      <c r="B36" s="157">
        <v>282</v>
      </c>
      <c r="C36" s="28">
        <v>364</v>
      </c>
      <c r="D36" s="28">
        <v>289</v>
      </c>
      <c r="E36" s="116" t="s">
        <v>508</v>
      </c>
      <c r="F36" s="226"/>
      <c r="G36" s="115" t="s">
        <v>222</v>
      </c>
      <c r="H36" s="229"/>
      <c r="I36" s="193">
        <v>27033600</v>
      </c>
      <c r="J36" s="268">
        <v>27033600</v>
      </c>
      <c r="K36" s="100">
        <f t="shared" si="0"/>
        <v>0</v>
      </c>
    </row>
    <row r="37" spans="1:11" ht="15">
      <c r="A37" s="27">
        <v>44218</v>
      </c>
      <c r="B37" s="157">
        <v>631</v>
      </c>
      <c r="C37" s="28">
        <v>385</v>
      </c>
      <c r="D37" s="28">
        <v>296</v>
      </c>
      <c r="E37" s="116" t="s">
        <v>509</v>
      </c>
      <c r="F37" s="226"/>
      <c r="G37" s="115" t="s">
        <v>485</v>
      </c>
      <c r="H37" s="229"/>
      <c r="I37" s="193">
        <v>116833071</v>
      </c>
      <c r="J37" s="268">
        <v>116833071</v>
      </c>
      <c r="K37" s="100">
        <f t="shared" si="0"/>
        <v>0</v>
      </c>
    </row>
    <row r="38" spans="1:11" ht="15">
      <c r="A38" s="27">
        <v>44218</v>
      </c>
      <c r="B38" s="157">
        <v>286</v>
      </c>
      <c r="C38" s="28">
        <v>379</v>
      </c>
      <c r="D38" s="28">
        <v>297</v>
      </c>
      <c r="E38" s="116" t="s">
        <v>510</v>
      </c>
      <c r="F38" s="226"/>
      <c r="G38" s="115" t="s">
        <v>471</v>
      </c>
      <c r="H38" s="229"/>
      <c r="I38" s="193">
        <v>17817600</v>
      </c>
      <c r="J38" s="268">
        <v>17817600</v>
      </c>
      <c r="K38" s="100">
        <f t="shared" si="0"/>
        <v>0</v>
      </c>
    </row>
    <row r="39" spans="1:11" ht="15">
      <c r="A39" s="27">
        <v>44218</v>
      </c>
      <c r="B39" s="157">
        <v>285</v>
      </c>
      <c r="C39" s="28">
        <v>378</v>
      </c>
      <c r="D39" s="28">
        <v>298</v>
      </c>
      <c r="E39" s="116" t="s">
        <v>511</v>
      </c>
      <c r="F39" s="226"/>
      <c r="G39" s="115" t="s">
        <v>310</v>
      </c>
      <c r="H39" s="229"/>
      <c r="I39" s="193">
        <v>14131200</v>
      </c>
      <c r="J39" s="268">
        <v>14131200</v>
      </c>
      <c r="K39" s="100">
        <f t="shared" si="0"/>
        <v>0</v>
      </c>
    </row>
    <row r="40" spans="1:11" ht="15">
      <c r="A40" s="27">
        <v>44218</v>
      </c>
      <c r="B40" s="157">
        <v>278</v>
      </c>
      <c r="C40" s="28">
        <v>296</v>
      </c>
      <c r="D40" s="28">
        <v>299</v>
      </c>
      <c r="E40" s="116" t="s">
        <v>512</v>
      </c>
      <c r="F40" s="226"/>
      <c r="G40" s="115" t="s">
        <v>221</v>
      </c>
      <c r="H40" s="229"/>
      <c r="I40" s="193">
        <v>23961600</v>
      </c>
      <c r="J40" s="268">
        <v>23961600</v>
      </c>
      <c r="K40" s="100">
        <f t="shared" si="0"/>
        <v>0</v>
      </c>
    </row>
    <row r="41" spans="1:11" ht="15">
      <c r="A41" s="27">
        <v>44218</v>
      </c>
      <c r="B41" s="157">
        <v>6192438437</v>
      </c>
      <c r="C41" s="28">
        <v>242</v>
      </c>
      <c r="D41" s="28">
        <v>300</v>
      </c>
      <c r="E41" s="116" t="s">
        <v>513</v>
      </c>
      <c r="F41" s="226"/>
      <c r="G41" s="115" t="s">
        <v>294</v>
      </c>
      <c r="H41" s="229"/>
      <c r="I41" s="193">
        <v>88730</v>
      </c>
      <c r="J41" s="268">
        <v>88730</v>
      </c>
      <c r="K41" s="100">
        <f t="shared" si="0"/>
        <v>0</v>
      </c>
    </row>
    <row r="42" spans="1:11" ht="15">
      <c r="A42" s="27">
        <v>44218</v>
      </c>
      <c r="B42" s="157">
        <v>519243543</v>
      </c>
      <c r="C42" s="28">
        <v>242</v>
      </c>
      <c r="D42" s="28">
        <v>301</v>
      </c>
      <c r="E42" s="116" t="s">
        <v>514</v>
      </c>
      <c r="F42" s="226"/>
      <c r="G42" s="115" t="s">
        <v>43</v>
      </c>
      <c r="H42" s="229"/>
      <c r="I42" s="193">
        <v>246840</v>
      </c>
      <c r="J42" s="268">
        <v>246840</v>
      </c>
      <c r="K42" s="100">
        <f t="shared" si="0"/>
        <v>0</v>
      </c>
    </row>
    <row r="43" spans="1:11" ht="15">
      <c r="A43" s="27">
        <v>44218</v>
      </c>
      <c r="B43" s="157">
        <v>62035008507</v>
      </c>
      <c r="C43" s="28">
        <v>242</v>
      </c>
      <c r="D43" s="28">
        <v>302</v>
      </c>
      <c r="E43" s="116" t="s">
        <v>515</v>
      </c>
      <c r="F43" s="226"/>
      <c r="G43" s="115" t="s">
        <v>294</v>
      </c>
      <c r="H43" s="229"/>
      <c r="I43" s="193">
        <v>216170</v>
      </c>
      <c r="J43" s="268">
        <v>216170</v>
      </c>
      <c r="K43" s="100">
        <f t="shared" si="0"/>
        <v>0</v>
      </c>
    </row>
    <row r="44" spans="1:11" ht="15">
      <c r="A44" s="27">
        <v>44218</v>
      </c>
      <c r="B44" s="157">
        <v>620350850</v>
      </c>
      <c r="C44" s="28">
        <v>242</v>
      </c>
      <c r="D44" s="28">
        <v>303</v>
      </c>
      <c r="E44" s="116" t="s">
        <v>516</v>
      </c>
      <c r="F44" s="226"/>
      <c r="G44" s="115" t="s">
        <v>43</v>
      </c>
      <c r="H44" s="229"/>
      <c r="I44" s="193">
        <v>31670</v>
      </c>
      <c r="J44" s="268">
        <v>31670</v>
      </c>
      <c r="K44" s="100">
        <f t="shared" si="0"/>
        <v>0</v>
      </c>
    </row>
    <row r="45" spans="1:11" ht="15">
      <c r="A45" s="27">
        <v>44221</v>
      </c>
      <c r="B45" s="157">
        <v>302</v>
      </c>
      <c r="C45" s="28">
        <v>362</v>
      </c>
      <c r="D45" s="28">
        <v>306</v>
      </c>
      <c r="E45" s="116" t="s">
        <v>517</v>
      </c>
      <c r="F45" s="226"/>
      <c r="G45" s="115" t="s">
        <v>348</v>
      </c>
      <c r="H45" s="229"/>
      <c r="I45" s="193">
        <f>48742400-573440</f>
        <v>48168960</v>
      </c>
      <c r="J45" s="268">
        <v>48168960</v>
      </c>
      <c r="K45" s="100">
        <f t="shared" si="0"/>
        <v>0</v>
      </c>
    </row>
    <row r="46" spans="1:11" ht="15">
      <c r="A46" s="27">
        <v>44221</v>
      </c>
      <c r="B46" s="157">
        <v>309</v>
      </c>
      <c r="C46" s="28">
        <v>400</v>
      </c>
      <c r="D46" s="28">
        <v>312</v>
      </c>
      <c r="E46" s="116" t="s">
        <v>518</v>
      </c>
      <c r="F46" s="226"/>
      <c r="G46" s="115" t="s">
        <v>47</v>
      </c>
      <c r="H46" s="229"/>
      <c r="I46" s="193">
        <v>25804800</v>
      </c>
      <c r="J46" s="268">
        <v>25804800</v>
      </c>
      <c r="K46" s="100">
        <f t="shared" si="0"/>
        <v>0</v>
      </c>
    </row>
    <row r="47" spans="1:11" ht="15">
      <c r="A47" s="27">
        <v>44221</v>
      </c>
      <c r="B47" s="157">
        <v>310</v>
      </c>
      <c r="C47" s="28">
        <v>393</v>
      </c>
      <c r="D47" s="28">
        <v>313</v>
      </c>
      <c r="E47" s="116" t="s">
        <v>519</v>
      </c>
      <c r="F47" s="226"/>
      <c r="G47" s="115" t="s">
        <v>396</v>
      </c>
      <c r="H47" s="229"/>
      <c r="I47" s="193">
        <v>25804800</v>
      </c>
      <c r="J47" s="268">
        <v>25804800</v>
      </c>
      <c r="K47" s="100">
        <f t="shared" si="0"/>
        <v>0</v>
      </c>
    </row>
    <row r="48" spans="1:11" ht="15">
      <c r="A48" s="27">
        <v>44221</v>
      </c>
      <c r="B48" s="157">
        <v>238</v>
      </c>
      <c r="C48" s="28">
        <v>384</v>
      </c>
      <c r="D48" s="28">
        <v>314</v>
      </c>
      <c r="E48" s="116" t="s">
        <v>520</v>
      </c>
      <c r="F48" s="226"/>
      <c r="G48" s="115" t="s">
        <v>180</v>
      </c>
      <c r="H48" s="229"/>
      <c r="I48" s="193">
        <v>25800000</v>
      </c>
      <c r="J48" s="268">
        <v>25800000</v>
      </c>
      <c r="K48" s="100">
        <f t="shared" si="0"/>
        <v>0</v>
      </c>
    </row>
    <row r="49" spans="1:11" ht="15">
      <c r="A49" s="27">
        <v>44221</v>
      </c>
      <c r="B49" s="157">
        <v>300</v>
      </c>
      <c r="C49" s="28">
        <v>344</v>
      </c>
      <c r="D49" s="28">
        <v>319</v>
      </c>
      <c r="E49" s="116" t="s">
        <v>521</v>
      </c>
      <c r="F49" s="226"/>
      <c r="G49" s="115" t="s">
        <v>375</v>
      </c>
      <c r="H49" s="229"/>
      <c r="I49" s="193">
        <v>33792000</v>
      </c>
      <c r="J49" s="268">
        <v>33792000</v>
      </c>
      <c r="K49" s="100">
        <f t="shared" si="0"/>
        <v>0</v>
      </c>
    </row>
    <row r="50" spans="1:11" ht="15">
      <c r="A50" s="27">
        <v>44221</v>
      </c>
      <c r="B50" s="157">
        <v>301</v>
      </c>
      <c r="C50" s="28">
        <v>345</v>
      </c>
      <c r="D50" s="28">
        <v>320</v>
      </c>
      <c r="E50" s="116" t="s">
        <v>402</v>
      </c>
      <c r="F50" s="226"/>
      <c r="G50" s="115" t="s">
        <v>178</v>
      </c>
      <c r="H50" s="229"/>
      <c r="I50" s="193">
        <v>27033600</v>
      </c>
      <c r="J50" s="268">
        <v>27033600</v>
      </c>
      <c r="K50" s="100">
        <f t="shared" si="0"/>
        <v>0</v>
      </c>
    </row>
    <row r="51" spans="1:11" ht="15">
      <c r="A51" s="27">
        <v>44221</v>
      </c>
      <c r="B51" s="157">
        <v>299</v>
      </c>
      <c r="C51" s="28">
        <v>343</v>
      </c>
      <c r="D51" s="28">
        <v>321</v>
      </c>
      <c r="E51" s="116" t="s">
        <v>522</v>
      </c>
      <c r="F51" s="226"/>
      <c r="G51" s="115" t="s">
        <v>113</v>
      </c>
      <c r="H51" s="229"/>
      <c r="I51" s="193">
        <v>33792000</v>
      </c>
      <c r="J51" s="268">
        <v>33792000</v>
      </c>
      <c r="K51" s="100">
        <f t="shared" si="0"/>
        <v>0</v>
      </c>
    </row>
    <row r="52" spans="1:11" ht="15">
      <c r="A52" s="27">
        <v>44221</v>
      </c>
      <c r="B52" s="157">
        <v>298</v>
      </c>
      <c r="C52" s="28">
        <v>335</v>
      </c>
      <c r="D52" s="28">
        <v>322</v>
      </c>
      <c r="E52" s="116" t="s">
        <v>523</v>
      </c>
      <c r="F52" s="226"/>
      <c r="G52" s="115" t="s">
        <v>48</v>
      </c>
      <c r="H52" s="229"/>
      <c r="I52" s="193">
        <v>25804800</v>
      </c>
      <c r="J52" s="268">
        <v>25804800</v>
      </c>
      <c r="K52" s="100">
        <f t="shared" si="0"/>
        <v>0</v>
      </c>
    </row>
    <row r="53" spans="1:11" ht="15">
      <c r="A53" s="27">
        <v>44221</v>
      </c>
      <c r="B53" s="157">
        <v>316</v>
      </c>
      <c r="C53" s="28">
        <v>433</v>
      </c>
      <c r="D53" s="28">
        <v>328</v>
      </c>
      <c r="E53" s="116" t="s">
        <v>524</v>
      </c>
      <c r="F53" s="226"/>
      <c r="G53" s="115" t="s">
        <v>106</v>
      </c>
      <c r="H53" s="229"/>
      <c r="I53" s="193">
        <f>33177600-15482880</f>
        <v>17694720</v>
      </c>
      <c r="J53" s="268">
        <v>17694720</v>
      </c>
      <c r="K53" s="100">
        <f t="shared" si="0"/>
        <v>0</v>
      </c>
    </row>
    <row r="54" spans="1:11" ht="15">
      <c r="A54" s="27">
        <v>44221</v>
      </c>
      <c r="B54" s="157">
        <v>330</v>
      </c>
      <c r="C54" s="28">
        <v>420</v>
      </c>
      <c r="D54" s="28">
        <v>331</v>
      </c>
      <c r="E54" s="116" t="s">
        <v>507</v>
      </c>
      <c r="F54" s="226"/>
      <c r="G54" s="115" t="s">
        <v>307</v>
      </c>
      <c r="H54" s="229"/>
      <c r="I54" s="193">
        <v>30720000</v>
      </c>
      <c r="J54" s="268">
        <v>30720000</v>
      </c>
      <c r="K54" s="100">
        <f t="shared" si="0"/>
        <v>0</v>
      </c>
    </row>
    <row r="55" spans="1:11" ht="15">
      <c r="A55" s="27">
        <v>44222</v>
      </c>
      <c r="B55" s="157">
        <v>339</v>
      </c>
      <c r="C55" s="28">
        <v>414</v>
      </c>
      <c r="D55" s="28">
        <v>346</v>
      </c>
      <c r="E55" s="116" t="s">
        <v>525</v>
      </c>
      <c r="F55" s="226"/>
      <c r="G55" s="115" t="s">
        <v>108</v>
      </c>
      <c r="H55" s="229"/>
      <c r="I55" s="193">
        <v>19046400</v>
      </c>
      <c r="J55" s="268">
        <v>19046400</v>
      </c>
      <c r="K55" s="100">
        <f t="shared" si="0"/>
        <v>0</v>
      </c>
    </row>
    <row r="56" spans="1:11" ht="15">
      <c r="A56" s="27">
        <v>44223</v>
      </c>
      <c r="B56" s="157">
        <v>33765647012</v>
      </c>
      <c r="C56" s="28">
        <v>242</v>
      </c>
      <c r="D56" s="28">
        <v>364</v>
      </c>
      <c r="E56" s="116" t="s">
        <v>526</v>
      </c>
      <c r="F56" s="226"/>
      <c r="G56" s="115" t="s">
        <v>42</v>
      </c>
      <c r="H56" s="229"/>
      <c r="I56" s="193">
        <v>96240</v>
      </c>
      <c r="J56" s="268">
        <v>96240</v>
      </c>
      <c r="K56" s="100">
        <f t="shared" si="0"/>
        <v>0</v>
      </c>
    </row>
    <row r="57" spans="1:11" ht="15">
      <c r="A57" s="27">
        <v>44224</v>
      </c>
      <c r="B57" s="157">
        <v>369</v>
      </c>
      <c r="C57" s="28">
        <v>465</v>
      </c>
      <c r="D57" s="28">
        <v>379</v>
      </c>
      <c r="E57" s="116" t="s">
        <v>527</v>
      </c>
      <c r="F57" s="226"/>
      <c r="G57" s="115" t="s">
        <v>486</v>
      </c>
      <c r="H57" s="229"/>
      <c r="I57" s="193">
        <v>30720000</v>
      </c>
      <c r="J57" s="268">
        <v>30720000</v>
      </c>
      <c r="K57" s="100">
        <f t="shared" si="0"/>
        <v>0</v>
      </c>
    </row>
    <row r="58" spans="1:11" ht="15">
      <c r="A58" s="27">
        <v>44224</v>
      </c>
      <c r="B58" s="157">
        <v>370</v>
      </c>
      <c r="C58" s="28">
        <v>466</v>
      </c>
      <c r="D58" s="28">
        <v>385</v>
      </c>
      <c r="E58" s="116" t="s">
        <v>528</v>
      </c>
      <c r="F58" s="226"/>
      <c r="G58" s="115" t="s">
        <v>311</v>
      </c>
      <c r="H58" s="229"/>
      <c r="I58" s="193">
        <v>30720000</v>
      </c>
      <c r="J58" s="268">
        <v>30720000</v>
      </c>
      <c r="K58" s="100">
        <f t="shared" si="0"/>
        <v>0</v>
      </c>
    </row>
    <row r="59" spans="1:11" ht="15">
      <c r="A59" s="27">
        <v>44225</v>
      </c>
      <c r="B59" s="157">
        <v>382</v>
      </c>
      <c r="C59" s="28">
        <v>497</v>
      </c>
      <c r="D59" s="28">
        <v>394</v>
      </c>
      <c r="E59" s="116" t="s">
        <v>529</v>
      </c>
      <c r="F59" s="226"/>
      <c r="G59" s="115" t="s">
        <v>308</v>
      </c>
      <c r="H59" s="229"/>
      <c r="I59" s="193">
        <v>32400000</v>
      </c>
      <c r="J59" s="268">
        <v>32400000</v>
      </c>
      <c r="K59" s="100">
        <f t="shared" si="0"/>
        <v>0</v>
      </c>
    </row>
    <row r="60" spans="1:11" ht="15">
      <c r="A60" s="27">
        <v>44226</v>
      </c>
      <c r="B60" s="157">
        <v>468</v>
      </c>
      <c r="C60" s="28">
        <v>525</v>
      </c>
      <c r="D60" s="28">
        <v>411</v>
      </c>
      <c r="E60" s="116" t="s">
        <v>530</v>
      </c>
      <c r="F60" s="226"/>
      <c r="G60" s="115" t="s">
        <v>376</v>
      </c>
      <c r="H60" s="229"/>
      <c r="I60" s="193">
        <v>49000000</v>
      </c>
      <c r="J60" s="268">
        <v>49000000</v>
      </c>
      <c r="K60" s="100">
        <f t="shared" si="0"/>
        <v>0</v>
      </c>
    </row>
    <row r="61" spans="1:11" ht="15">
      <c r="A61" s="27">
        <v>44228</v>
      </c>
      <c r="B61" s="157" t="s">
        <v>970</v>
      </c>
      <c r="C61" s="28" t="s">
        <v>883</v>
      </c>
      <c r="D61" s="28" t="s">
        <v>884</v>
      </c>
      <c r="E61" s="116" t="s">
        <v>850</v>
      </c>
      <c r="F61" s="226"/>
      <c r="G61" s="115" t="s">
        <v>1008</v>
      </c>
      <c r="H61" s="229"/>
      <c r="I61">
        <v>27033600</v>
      </c>
      <c r="J61" s="268">
        <v>27033600</v>
      </c>
      <c r="K61" s="100">
        <f t="shared" si="0"/>
        <v>0</v>
      </c>
    </row>
    <row r="62" spans="1:11" ht="15">
      <c r="A62" s="27">
        <v>44228</v>
      </c>
      <c r="B62" s="157" t="s">
        <v>971</v>
      </c>
      <c r="C62" s="28" t="s">
        <v>885</v>
      </c>
      <c r="D62" s="28" t="s">
        <v>886</v>
      </c>
      <c r="E62" s="116" t="s">
        <v>517</v>
      </c>
      <c r="F62" s="226"/>
      <c r="G62" s="115" t="s">
        <v>1009</v>
      </c>
      <c r="H62" s="229"/>
      <c r="I62">
        <v>25804800</v>
      </c>
      <c r="J62" s="268">
        <v>25804800</v>
      </c>
      <c r="K62" s="100">
        <f t="shared" si="0"/>
        <v>0</v>
      </c>
    </row>
    <row r="63" spans="1:11" ht="15">
      <c r="A63" s="27">
        <v>44230</v>
      </c>
      <c r="B63" s="157" t="s">
        <v>972</v>
      </c>
      <c r="C63" s="28" t="s">
        <v>887</v>
      </c>
      <c r="D63" s="28" t="s">
        <v>888</v>
      </c>
      <c r="E63" s="116" t="s">
        <v>851</v>
      </c>
      <c r="F63" s="226"/>
      <c r="G63" s="115" t="s">
        <v>1010</v>
      </c>
      <c r="H63" s="229"/>
      <c r="I63">
        <v>27033600</v>
      </c>
      <c r="J63" s="268">
        <v>22227627</v>
      </c>
      <c r="K63" s="100">
        <f t="shared" si="0"/>
        <v>4805973</v>
      </c>
    </row>
    <row r="64" spans="1:11" ht="15">
      <c r="A64" s="27">
        <v>44230</v>
      </c>
      <c r="B64" s="157" t="s">
        <v>973</v>
      </c>
      <c r="C64" s="28" t="s">
        <v>889</v>
      </c>
      <c r="D64" s="28" t="s">
        <v>890</v>
      </c>
      <c r="E64" s="116" t="s">
        <v>852</v>
      </c>
      <c r="F64" s="226"/>
      <c r="G64" s="115" t="s">
        <v>294</v>
      </c>
      <c r="H64" s="229"/>
      <c r="I64">
        <v>63460</v>
      </c>
      <c r="J64" s="268">
        <v>63460</v>
      </c>
      <c r="K64" s="100">
        <f t="shared" si="0"/>
        <v>0</v>
      </c>
    </row>
    <row r="65" spans="1:11" ht="15">
      <c r="A65" s="27">
        <v>44230</v>
      </c>
      <c r="B65" s="157" t="s">
        <v>974</v>
      </c>
      <c r="C65" s="28" t="s">
        <v>889</v>
      </c>
      <c r="D65" s="28" t="s">
        <v>891</v>
      </c>
      <c r="E65" s="116" t="s">
        <v>853</v>
      </c>
      <c r="F65" s="226"/>
      <c r="G65" s="115" t="s">
        <v>43</v>
      </c>
      <c r="H65" s="229"/>
      <c r="I65">
        <v>401670</v>
      </c>
      <c r="J65" s="268">
        <v>401670</v>
      </c>
      <c r="K65" s="100">
        <f t="shared" si="0"/>
        <v>0</v>
      </c>
    </row>
    <row r="66" spans="1:11" ht="15">
      <c r="A66" s="27">
        <v>44230</v>
      </c>
      <c r="B66" s="157" t="s">
        <v>975</v>
      </c>
      <c r="C66" s="28" t="s">
        <v>892</v>
      </c>
      <c r="D66" s="28" t="s">
        <v>893</v>
      </c>
      <c r="E66" s="116" t="s">
        <v>825</v>
      </c>
      <c r="F66" s="226"/>
      <c r="G66" s="115" t="s">
        <v>1011</v>
      </c>
      <c r="H66" s="229"/>
      <c r="I66">
        <v>23672832</v>
      </c>
      <c r="J66" s="268">
        <v>23672832</v>
      </c>
      <c r="K66" s="100">
        <f t="shared" si="0"/>
        <v>0</v>
      </c>
    </row>
    <row r="67" spans="1:11" ht="15">
      <c r="A67" s="27">
        <v>44230</v>
      </c>
      <c r="B67" s="157" t="s">
        <v>976</v>
      </c>
      <c r="C67" s="28" t="s">
        <v>894</v>
      </c>
      <c r="D67" s="28" t="s">
        <v>895</v>
      </c>
      <c r="E67" s="228" t="s">
        <v>826</v>
      </c>
      <c r="F67" s="226"/>
      <c r="G67" s="115" t="s">
        <v>1012</v>
      </c>
      <c r="H67" s="229"/>
      <c r="I67" s="26">
        <v>25804800</v>
      </c>
      <c r="J67" s="268">
        <v>25804800</v>
      </c>
      <c r="K67" s="100">
        <f t="shared" si="0"/>
        <v>0</v>
      </c>
    </row>
    <row r="68" spans="1:11" ht="15">
      <c r="A68" s="27">
        <v>44231</v>
      </c>
      <c r="B68" s="157" t="s">
        <v>977</v>
      </c>
      <c r="C68" s="28" t="s">
        <v>889</v>
      </c>
      <c r="D68" s="28" t="s">
        <v>896</v>
      </c>
      <c r="E68" s="228" t="s">
        <v>854</v>
      </c>
      <c r="F68" s="226"/>
      <c r="G68" s="115" t="s">
        <v>294</v>
      </c>
      <c r="H68" s="229"/>
      <c r="I68" s="26">
        <v>101670</v>
      </c>
      <c r="J68" s="268">
        <v>101670</v>
      </c>
      <c r="K68" s="100">
        <f t="shared" si="0"/>
        <v>0</v>
      </c>
    </row>
    <row r="69" spans="1:11" ht="15">
      <c r="A69" s="27">
        <v>44231</v>
      </c>
      <c r="B69" s="157" t="s">
        <v>978</v>
      </c>
      <c r="C69" s="28" t="s">
        <v>889</v>
      </c>
      <c r="D69" s="28" t="s">
        <v>897</v>
      </c>
      <c r="E69" s="228" t="s">
        <v>855</v>
      </c>
      <c r="F69" s="226"/>
      <c r="G69" s="115" t="s">
        <v>1013</v>
      </c>
      <c r="H69" s="229"/>
      <c r="I69" s="26">
        <v>30910</v>
      </c>
      <c r="J69" s="268">
        <v>30910</v>
      </c>
      <c r="K69" s="100">
        <f t="shared" si="0"/>
        <v>0</v>
      </c>
    </row>
    <row r="70" spans="1:11" ht="15">
      <c r="A70" s="27">
        <v>44232</v>
      </c>
      <c r="B70" s="157" t="s">
        <v>979</v>
      </c>
      <c r="C70" s="28" t="s">
        <v>889</v>
      </c>
      <c r="D70" s="28" t="s">
        <v>898</v>
      </c>
      <c r="E70" s="228" t="s">
        <v>856</v>
      </c>
      <c r="F70" s="226"/>
      <c r="G70" s="115" t="s">
        <v>294</v>
      </c>
      <c r="H70" s="229"/>
      <c r="I70" s="26">
        <v>9830</v>
      </c>
      <c r="J70" s="268">
        <v>9830</v>
      </c>
      <c r="K70" s="100">
        <f t="shared" si="0"/>
        <v>0</v>
      </c>
    </row>
    <row r="71" spans="1:11" ht="15">
      <c r="A71" s="27">
        <v>44232</v>
      </c>
      <c r="B71" s="157" t="s">
        <v>980</v>
      </c>
      <c r="C71" s="28" t="s">
        <v>889</v>
      </c>
      <c r="D71" s="28" t="s">
        <v>899</v>
      </c>
      <c r="E71" s="228" t="s">
        <v>857</v>
      </c>
      <c r="F71" s="226"/>
      <c r="G71" s="115" t="s">
        <v>43</v>
      </c>
      <c r="H71" s="229"/>
      <c r="I71" s="26">
        <v>295990</v>
      </c>
      <c r="J71" s="268">
        <v>295990</v>
      </c>
      <c r="K71" s="100">
        <f t="shared" si="0"/>
        <v>0</v>
      </c>
    </row>
    <row r="72" spans="1:11" ht="15">
      <c r="A72" s="27">
        <v>44232</v>
      </c>
      <c r="B72" s="157" t="s">
        <v>448</v>
      </c>
      <c r="C72" s="28" t="s">
        <v>900</v>
      </c>
      <c r="D72" s="28" t="s">
        <v>901</v>
      </c>
      <c r="E72" s="228" t="s">
        <v>511</v>
      </c>
      <c r="F72" s="226"/>
      <c r="G72" s="115" t="s">
        <v>1014</v>
      </c>
      <c r="H72" s="229"/>
      <c r="I72" s="26">
        <v>15360000</v>
      </c>
      <c r="J72" s="268">
        <v>15360000</v>
      </c>
      <c r="K72" s="100">
        <f t="shared" si="0"/>
        <v>0</v>
      </c>
    </row>
    <row r="73" spans="1:11" ht="15">
      <c r="A73" s="27">
        <v>44235</v>
      </c>
      <c r="B73" s="157" t="s">
        <v>981</v>
      </c>
      <c r="C73" s="28" t="s">
        <v>902</v>
      </c>
      <c r="D73" s="28" t="s">
        <v>903</v>
      </c>
      <c r="E73" s="228" t="s">
        <v>858</v>
      </c>
      <c r="F73" s="226"/>
      <c r="G73" s="115" t="s">
        <v>395</v>
      </c>
      <c r="H73" s="229"/>
      <c r="I73" s="26">
        <v>27648000</v>
      </c>
      <c r="J73" s="268">
        <v>27648000</v>
      </c>
      <c r="K73" s="100">
        <f t="shared" si="0"/>
        <v>0</v>
      </c>
    </row>
    <row r="74" spans="1:11" ht="15">
      <c r="A74" s="175">
        <v>44235</v>
      </c>
      <c r="B74" s="157" t="s">
        <v>982</v>
      </c>
      <c r="C74" s="28" t="s">
        <v>904</v>
      </c>
      <c r="D74" s="28" t="s">
        <v>455</v>
      </c>
      <c r="E74" s="228" t="s">
        <v>859</v>
      </c>
      <c r="F74" s="226"/>
      <c r="G74" s="115" t="s">
        <v>1015</v>
      </c>
      <c r="H74" s="229"/>
      <c r="I74" s="26">
        <v>33792000</v>
      </c>
      <c r="J74" s="268">
        <v>33792000</v>
      </c>
      <c r="K74" s="100">
        <f t="shared" si="0"/>
        <v>0</v>
      </c>
    </row>
    <row r="75" spans="1:11" ht="15">
      <c r="A75" s="175">
        <v>44235</v>
      </c>
      <c r="B75" s="157" t="s">
        <v>983</v>
      </c>
      <c r="C75" s="28" t="s">
        <v>905</v>
      </c>
      <c r="D75" s="28" t="s">
        <v>906</v>
      </c>
      <c r="E75" s="228" t="s">
        <v>827</v>
      </c>
      <c r="F75" s="226"/>
      <c r="G75" s="115" t="s">
        <v>1016</v>
      </c>
      <c r="H75" s="229"/>
      <c r="I75" s="26">
        <v>25804800</v>
      </c>
      <c r="J75" s="268">
        <v>25804800</v>
      </c>
      <c r="K75" s="100">
        <f t="shared" si="0"/>
        <v>0</v>
      </c>
    </row>
    <row r="76" spans="1:11" ht="15">
      <c r="A76" s="175">
        <v>44235</v>
      </c>
      <c r="B76" s="157" t="s">
        <v>984</v>
      </c>
      <c r="C76" s="28" t="s">
        <v>907</v>
      </c>
      <c r="D76" s="28" t="s">
        <v>908</v>
      </c>
      <c r="E76" s="228" t="s">
        <v>860</v>
      </c>
      <c r="F76" s="226"/>
      <c r="G76" s="115" t="s">
        <v>1017</v>
      </c>
      <c r="H76" s="229"/>
      <c r="I76" s="26">
        <v>27033600</v>
      </c>
      <c r="J76" s="268">
        <v>27033600</v>
      </c>
      <c r="K76" s="100">
        <f t="shared" si="0"/>
        <v>0</v>
      </c>
    </row>
    <row r="77" spans="1:11" ht="15">
      <c r="A77" s="175">
        <v>44235</v>
      </c>
      <c r="B77" s="157" t="s">
        <v>985</v>
      </c>
      <c r="C77" s="28" t="s">
        <v>909</v>
      </c>
      <c r="D77" s="28" t="s">
        <v>883</v>
      </c>
      <c r="E77" s="228" t="s">
        <v>383</v>
      </c>
      <c r="F77" s="226"/>
      <c r="G77" s="115" t="s">
        <v>1018</v>
      </c>
      <c r="H77" s="229"/>
      <c r="I77" s="26">
        <v>30720000</v>
      </c>
      <c r="J77" s="268">
        <v>30720000</v>
      </c>
      <c r="K77" s="100">
        <f t="shared" si="1" ref="K77:K140">+I77-J77</f>
        <v>0</v>
      </c>
    </row>
    <row r="78" spans="1:11" ht="15">
      <c r="A78" s="175">
        <v>44235</v>
      </c>
      <c r="B78" s="157" t="s">
        <v>899</v>
      </c>
      <c r="C78" s="28" t="s">
        <v>910</v>
      </c>
      <c r="D78" s="28" t="s">
        <v>911</v>
      </c>
      <c r="E78" s="228" t="s">
        <v>861</v>
      </c>
      <c r="F78" s="226"/>
      <c r="G78" s="115" t="s">
        <v>1019</v>
      </c>
      <c r="H78" s="229"/>
      <c r="I78" s="26">
        <v>25804800</v>
      </c>
      <c r="J78" s="268">
        <v>25804800</v>
      </c>
      <c r="K78" s="100">
        <f t="shared" si="1"/>
        <v>0</v>
      </c>
    </row>
    <row r="79" spans="1:11" ht="15">
      <c r="A79" s="175">
        <v>44236</v>
      </c>
      <c r="B79" s="157" t="s">
        <v>986</v>
      </c>
      <c r="C79" s="28" t="s">
        <v>912</v>
      </c>
      <c r="D79" s="28" t="s">
        <v>913</v>
      </c>
      <c r="E79" s="228" t="s">
        <v>862</v>
      </c>
      <c r="F79" s="226"/>
      <c r="G79" s="115" t="s">
        <v>1020</v>
      </c>
      <c r="H79" s="229"/>
      <c r="I79" s="26">
        <f>24576000-17885867</f>
        <v>6690133</v>
      </c>
      <c r="J79" s="268">
        <v>6690133</v>
      </c>
      <c r="K79" s="100">
        <f t="shared" si="1"/>
        <v>0</v>
      </c>
    </row>
    <row r="80" spans="1:11" ht="15">
      <c r="A80" s="175">
        <v>44236</v>
      </c>
      <c r="B80" s="157" t="s">
        <v>455</v>
      </c>
      <c r="C80" s="28" t="s">
        <v>914</v>
      </c>
      <c r="D80" s="28" t="s">
        <v>915</v>
      </c>
      <c r="E80" s="228" t="s">
        <v>383</v>
      </c>
      <c r="F80" s="226"/>
      <c r="G80" s="115" t="s">
        <v>1021</v>
      </c>
      <c r="H80" s="229"/>
      <c r="I80" s="26">
        <v>30720000</v>
      </c>
      <c r="J80" s="268">
        <v>30720000</v>
      </c>
      <c r="K80" s="100">
        <f t="shared" si="1"/>
        <v>0</v>
      </c>
    </row>
    <row r="81" spans="1:11" ht="15">
      <c r="A81" s="175">
        <v>44236</v>
      </c>
      <c r="B81" s="157" t="s">
        <v>901</v>
      </c>
      <c r="C81" s="28" t="s">
        <v>916</v>
      </c>
      <c r="D81" s="28" t="s">
        <v>442</v>
      </c>
      <c r="E81" s="228" t="s">
        <v>863</v>
      </c>
      <c r="F81" s="226"/>
      <c r="G81" s="115" t="s">
        <v>1022</v>
      </c>
      <c r="H81" s="229"/>
      <c r="I81" s="26">
        <v>30720000</v>
      </c>
      <c r="J81" s="268">
        <v>30720000</v>
      </c>
      <c r="K81" s="100">
        <f t="shared" si="1"/>
        <v>0</v>
      </c>
    </row>
    <row r="82" spans="1:11" ht="15">
      <c r="A82" s="175">
        <v>44237</v>
      </c>
      <c r="B82" s="157" t="s">
        <v>987</v>
      </c>
      <c r="C82" s="28" t="s">
        <v>917</v>
      </c>
      <c r="D82" s="28" t="s">
        <v>918</v>
      </c>
      <c r="E82" s="228" t="s">
        <v>489</v>
      </c>
      <c r="F82" s="226"/>
      <c r="G82" s="115" t="s">
        <v>1023</v>
      </c>
      <c r="H82" s="229"/>
      <c r="I82" s="26">
        <v>27033600</v>
      </c>
      <c r="J82" s="268">
        <v>27033600</v>
      </c>
      <c r="K82" s="100">
        <f t="shared" si="1"/>
        <v>0</v>
      </c>
    </row>
    <row r="83" spans="1:11" ht="15">
      <c r="A83" s="175">
        <v>44237</v>
      </c>
      <c r="B83" s="157" t="s">
        <v>988</v>
      </c>
      <c r="C83" s="28" t="s">
        <v>919</v>
      </c>
      <c r="D83" s="28" t="s">
        <v>920</v>
      </c>
      <c r="E83" s="228" t="s">
        <v>827</v>
      </c>
      <c r="F83" s="226"/>
      <c r="G83" s="115" t="s">
        <v>1024</v>
      </c>
      <c r="H83" s="229"/>
      <c r="I83" s="26">
        <v>25804800</v>
      </c>
      <c r="J83" s="268">
        <v>25804800</v>
      </c>
      <c r="K83" s="100">
        <f t="shared" si="1"/>
        <v>0</v>
      </c>
    </row>
    <row r="84" spans="1:11" ht="15">
      <c r="A84" s="175">
        <v>44237</v>
      </c>
      <c r="B84" s="157" t="s">
        <v>989</v>
      </c>
      <c r="C84" s="28" t="s">
        <v>921</v>
      </c>
      <c r="D84" s="28" t="s">
        <v>922</v>
      </c>
      <c r="E84" s="228" t="s">
        <v>864</v>
      </c>
      <c r="F84" s="226"/>
      <c r="G84" s="115" t="s">
        <v>1025</v>
      </c>
      <c r="H84" s="229"/>
      <c r="I84" s="26">
        <v>25804800</v>
      </c>
      <c r="J84" s="268">
        <v>25231360</v>
      </c>
      <c r="K84" s="100">
        <f t="shared" si="1"/>
        <v>573440</v>
      </c>
    </row>
    <row r="85" spans="1:11" ht="15">
      <c r="A85" s="175">
        <v>44238</v>
      </c>
      <c r="B85" s="157" t="s">
        <v>990</v>
      </c>
      <c r="C85" s="28" t="s">
        <v>923</v>
      </c>
      <c r="D85" s="28" t="s">
        <v>917</v>
      </c>
      <c r="E85" s="228" t="s">
        <v>383</v>
      </c>
      <c r="F85" s="226"/>
      <c r="G85" s="115" t="s">
        <v>1026</v>
      </c>
      <c r="H85" s="229"/>
      <c r="I85" s="26">
        <v>26166000</v>
      </c>
      <c r="J85" s="268">
        <v>26166000</v>
      </c>
      <c r="K85" s="100">
        <f t="shared" si="1"/>
        <v>0</v>
      </c>
    </row>
    <row r="86" spans="1:11" ht="15">
      <c r="A86" s="175">
        <v>44238</v>
      </c>
      <c r="B86" s="157" t="s">
        <v>991</v>
      </c>
      <c r="C86" s="28" t="s">
        <v>924</v>
      </c>
      <c r="D86" s="28" t="s">
        <v>921</v>
      </c>
      <c r="E86" s="228" t="s">
        <v>865</v>
      </c>
      <c r="F86" s="226"/>
      <c r="G86" s="115" t="s">
        <v>435</v>
      </c>
      <c r="H86" s="229"/>
      <c r="I86" s="26">
        <v>28876800</v>
      </c>
      <c r="J86" s="268">
        <v>28876800</v>
      </c>
      <c r="K86" s="100">
        <f t="shared" si="1"/>
        <v>0</v>
      </c>
    </row>
    <row r="87" spans="1:11" ht="15">
      <c r="A87" s="175">
        <v>44239</v>
      </c>
      <c r="B87" s="157" t="s">
        <v>992</v>
      </c>
      <c r="C87" s="28" t="s">
        <v>925</v>
      </c>
      <c r="D87" s="28" t="s">
        <v>926</v>
      </c>
      <c r="E87" s="228" t="s">
        <v>383</v>
      </c>
      <c r="F87" s="226"/>
      <c r="G87" s="115" t="s">
        <v>373</v>
      </c>
      <c r="H87" s="229"/>
      <c r="I87" s="26">
        <v>30720000</v>
      </c>
      <c r="J87" s="240">
        <v>1536000</v>
      </c>
      <c r="K87" s="100">
        <f t="shared" si="1"/>
        <v>29184000</v>
      </c>
    </row>
    <row r="88" spans="1:11" ht="15">
      <c r="A88" s="175">
        <v>44239</v>
      </c>
      <c r="B88" s="157" t="s">
        <v>892</v>
      </c>
      <c r="C88" s="28" t="s">
        <v>927</v>
      </c>
      <c r="D88" s="28" t="s">
        <v>928</v>
      </c>
      <c r="E88" s="228" t="s">
        <v>866</v>
      </c>
      <c r="F88" s="226"/>
      <c r="G88" s="115" t="s">
        <v>1027</v>
      </c>
      <c r="H88" s="229"/>
      <c r="I88" s="26">
        <v>22800000</v>
      </c>
      <c r="J88" s="268">
        <v>22800000</v>
      </c>
      <c r="K88" s="100">
        <f t="shared" si="1"/>
        <v>0</v>
      </c>
    </row>
    <row r="89" spans="1:11" ht="15">
      <c r="A89" s="175">
        <v>44242</v>
      </c>
      <c r="B89" s="157" t="s">
        <v>915</v>
      </c>
      <c r="C89" s="28" t="s">
        <v>929</v>
      </c>
      <c r="D89" s="28" t="s">
        <v>930</v>
      </c>
      <c r="E89" s="228" t="s">
        <v>851</v>
      </c>
      <c r="F89" s="226"/>
      <c r="G89" s="115" t="s">
        <v>1028</v>
      </c>
      <c r="H89" s="229"/>
      <c r="I89" s="26">
        <v>27033600</v>
      </c>
      <c r="J89" s="268">
        <v>27033600</v>
      </c>
      <c r="K89" s="100">
        <f t="shared" si="1"/>
        <v>0</v>
      </c>
    </row>
    <row r="90" spans="1:11" ht="15">
      <c r="A90" s="175">
        <v>44242</v>
      </c>
      <c r="B90" s="157" t="s">
        <v>993</v>
      </c>
      <c r="C90" s="28" t="s">
        <v>931</v>
      </c>
      <c r="D90" s="28" t="s">
        <v>914</v>
      </c>
      <c r="E90" s="228" t="s">
        <v>864</v>
      </c>
      <c r="F90" s="226"/>
      <c r="G90" s="115" t="s">
        <v>1029</v>
      </c>
      <c r="H90" s="229"/>
      <c r="I90" s="26">
        <v>24576000</v>
      </c>
      <c r="J90" s="268">
        <v>24576000</v>
      </c>
      <c r="K90" s="100">
        <f t="shared" si="1"/>
        <v>0</v>
      </c>
    </row>
    <row r="91" spans="1:11" ht="15">
      <c r="A91" s="175">
        <v>44242</v>
      </c>
      <c r="B91" s="157" t="s">
        <v>883</v>
      </c>
      <c r="C91" s="28" t="s">
        <v>932</v>
      </c>
      <c r="D91" s="28" t="s">
        <v>933</v>
      </c>
      <c r="E91" s="228" t="s">
        <v>867</v>
      </c>
      <c r="F91" s="226"/>
      <c r="G91" s="115" t="s">
        <v>1030</v>
      </c>
      <c r="H91" s="229"/>
      <c r="I91" s="26">
        <v>26166000</v>
      </c>
      <c r="J91" s="268">
        <v>26166000</v>
      </c>
      <c r="K91" s="100">
        <f t="shared" si="1"/>
        <v>0</v>
      </c>
    </row>
    <row r="92" spans="1:11" ht="15">
      <c r="A92" s="175">
        <v>44242</v>
      </c>
      <c r="B92" s="157" t="s">
        <v>994</v>
      </c>
      <c r="C92" s="28" t="s">
        <v>934</v>
      </c>
      <c r="D92" s="28" t="s">
        <v>935</v>
      </c>
      <c r="E92" s="228" t="s">
        <v>868</v>
      </c>
      <c r="F92" s="226"/>
      <c r="G92" s="115" t="s">
        <v>1031</v>
      </c>
      <c r="H92" s="229"/>
      <c r="I92" s="26">
        <v>25804800</v>
      </c>
      <c r="J92" s="268">
        <v>25804800</v>
      </c>
      <c r="K92" s="100">
        <f t="shared" si="1"/>
        <v>0</v>
      </c>
    </row>
    <row r="93" spans="1:11" ht="15">
      <c r="A93" s="175">
        <v>44242</v>
      </c>
      <c r="B93" s="157" t="s">
        <v>995</v>
      </c>
      <c r="C93" s="28" t="s">
        <v>889</v>
      </c>
      <c r="D93" s="28" t="s">
        <v>936</v>
      </c>
      <c r="E93" s="228" t="s">
        <v>869</v>
      </c>
      <c r="F93" s="226"/>
      <c r="G93" s="115" t="s">
        <v>294</v>
      </c>
      <c r="H93" s="229"/>
      <c r="I93" s="26">
        <v>161220</v>
      </c>
      <c r="J93" s="268">
        <v>161220</v>
      </c>
      <c r="K93" s="100">
        <f t="shared" si="1"/>
        <v>0</v>
      </c>
    </row>
    <row r="94" spans="1:11" ht="15">
      <c r="A94" s="175">
        <v>44253</v>
      </c>
      <c r="B94" s="157" t="s">
        <v>996</v>
      </c>
      <c r="C94" s="28" t="s">
        <v>889</v>
      </c>
      <c r="D94" s="28" t="s">
        <v>937</v>
      </c>
      <c r="E94" s="228" t="s">
        <v>824</v>
      </c>
      <c r="F94" s="226"/>
      <c r="G94" s="115" t="s">
        <v>43</v>
      </c>
      <c r="H94" s="229"/>
      <c r="I94" s="26">
        <v>33140</v>
      </c>
      <c r="J94" s="268">
        <v>33140</v>
      </c>
      <c r="K94" s="100">
        <f t="shared" si="1"/>
        <v>0</v>
      </c>
    </row>
    <row r="95" spans="1:11" ht="15">
      <c r="A95" s="175">
        <v>44242</v>
      </c>
      <c r="B95" s="157" t="s">
        <v>909</v>
      </c>
      <c r="C95" s="28" t="s">
        <v>938</v>
      </c>
      <c r="D95" s="28" t="s">
        <v>939</v>
      </c>
      <c r="E95" s="228" t="s">
        <v>851</v>
      </c>
      <c r="F95" s="226"/>
      <c r="G95" s="115" t="s">
        <v>1032</v>
      </c>
      <c r="H95" s="229"/>
      <c r="I95" s="26">
        <v>24576000</v>
      </c>
      <c r="J95" s="268">
        <v>24576000</v>
      </c>
      <c r="K95" s="100">
        <f t="shared" si="1"/>
        <v>0</v>
      </c>
    </row>
    <row r="96" spans="1:11" ht="15">
      <c r="A96" s="175">
        <v>44242</v>
      </c>
      <c r="B96" s="157" t="s">
        <v>997</v>
      </c>
      <c r="C96" s="28" t="s">
        <v>940</v>
      </c>
      <c r="D96" s="28" t="s">
        <v>941</v>
      </c>
      <c r="E96" s="228" t="s">
        <v>870</v>
      </c>
      <c r="F96" s="226"/>
      <c r="G96" s="115" t="s">
        <v>1033</v>
      </c>
      <c r="H96" s="229"/>
      <c r="I96" s="26">
        <v>27033600</v>
      </c>
      <c r="J96" s="268">
        <v>27033600</v>
      </c>
      <c r="K96" s="100">
        <f t="shared" si="1"/>
        <v>0</v>
      </c>
    </row>
    <row r="97" spans="1:11" ht="15">
      <c r="A97" s="175">
        <v>44243</v>
      </c>
      <c r="B97" s="157" t="s">
        <v>998</v>
      </c>
      <c r="C97" s="28" t="s">
        <v>942</v>
      </c>
      <c r="D97" s="28" t="s">
        <v>943</v>
      </c>
      <c r="E97" s="228" t="s">
        <v>489</v>
      </c>
      <c r="F97" s="226"/>
      <c r="G97" s="115" t="s">
        <v>1034</v>
      </c>
      <c r="H97" s="229"/>
      <c r="I97" s="26">
        <v>25804800</v>
      </c>
      <c r="J97" s="268">
        <v>25804800</v>
      </c>
      <c r="K97" s="100">
        <f t="shared" si="1"/>
        <v>0</v>
      </c>
    </row>
    <row r="98" spans="1:11" ht="15">
      <c r="A98" s="175">
        <v>44244</v>
      </c>
      <c r="B98" s="157" t="s">
        <v>917</v>
      </c>
      <c r="C98" s="28" t="s">
        <v>944</v>
      </c>
      <c r="D98" s="28" t="s">
        <v>945</v>
      </c>
      <c r="E98" s="228" t="s">
        <v>871</v>
      </c>
      <c r="F98" s="226"/>
      <c r="G98" s="115" t="s">
        <v>1035</v>
      </c>
      <c r="H98" s="229"/>
      <c r="I98" s="26">
        <v>36000000</v>
      </c>
      <c r="J98" s="268">
        <v>36000000</v>
      </c>
      <c r="K98" s="100">
        <f t="shared" si="1"/>
        <v>0</v>
      </c>
    </row>
    <row r="99" spans="1:11" ht="15">
      <c r="A99" s="175">
        <v>44245</v>
      </c>
      <c r="B99" s="157" t="s">
        <v>921</v>
      </c>
      <c r="C99" s="28" t="s">
        <v>453</v>
      </c>
      <c r="D99" s="28" t="s">
        <v>938</v>
      </c>
      <c r="E99" s="228" t="s">
        <v>872</v>
      </c>
      <c r="F99" s="226"/>
      <c r="G99" s="115" t="s">
        <v>378</v>
      </c>
      <c r="H99" s="229"/>
      <c r="I99" s="26">
        <v>32400000</v>
      </c>
      <c r="J99" s="268">
        <v>32400000</v>
      </c>
      <c r="K99" s="100">
        <f t="shared" si="1"/>
        <v>0</v>
      </c>
    </row>
    <row r="100" spans="1:11" ht="15">
      <c r="A100" s="175">
        <v>44245</v>
      </c>
      <c r="B100" s="157" t="s">
        <v>904</v>
      </c>
      <c r="C100" s="28" t="s">
        <v>946</v>
      </c>
      <c r="D100" s="28" t="s">
        <v>940</v>
      </c>
      <c r="E100" s="228" t="s">
        <v>872</v>
      </c>
      <c r="F100" s="226"/>
      <c r="G100" s="115" t="s">
        <v>1036</v>
      </c>
      <c r="H100" s="229"/>
      <c r="I100" s="26">
        <v>32400000</v>
      </c>
      <c r="J100" s="268">
        <v>32400000</v>
      </c>
      <c r="K100" s="100">
        <f t="shared" si="1"/>
        <v>0</v>
      </c>
    </row>
    <row r="101" spans="1:11" ht="15">
      <c r="A101" s="175">
        <v>44245</v>
      </c>
      <c r="B101" s="157" t="s">
        <v>999</v>
      </c>
      <c r="C101" s="28" t="s">
        <v>947</v>
      </c>
      <c r="D101" s="28" t="s">
        <v>948</v>
      </c>
      <c r="E101" s="228" t="s">
        <v>827</v>
      </c>
      <c r="F101" s="226"/>
      <c r="G101" s="115" t="s">
        <v>1037</v>
      </c>
      <c r="H101" s="229"/>
      <c r="I101" s="26">
        <v>30720000</v>
      </c>
      <c r="J101" s="268">
        <v>30720000</v>
      </c>
      <c r="K101" s="100">
        <f t="shared" si="1"/>
        <v>0</v>
      </c>
    </row>
    <row r="102" spans="1:11" ht="15">
      <c r="A102" s="175">
        <v>44245</v>
      </c>
      <c r="B102" s="157" t="s">
        <v>1000</v>
      </c>
      <c r="C102" s="28" t="s">
        <v>949</v>
      </c>
      <c r="D102" s="28" t="s">
        <v>950</v>
      </c>
      <c r="E102" s="228" t="s">
        <v>522</v>
      </c>
      <c r="F102" s="226"/>
      <c r="G102" s="115" t="s">
        <v>1038</v>
      </c>
      <c r="H102" s="229"/>
      <c r="I102" s="26">
        <f>31948800-28931413</f>
        <v>3017387</v>
      </c>
      <c r="J102" s="268">
        <v>3017387</v>
      </c>
      <c r="K102" s="100">
        <f t="shared" si="1"/>
        <v>0</v>
      </c>
    </row>
    <row r="103" spans="1:11" ht="15">
      <c r="A103" s="175">
        <v>44245</v>
      </c>
      <c r="B103" s="157" t="s">
        <v>947</v>
      </c>
      <c r="C103" s="28" t="s">
        <v>951</v>
      </c>
      <c r="D103" s="28" t="s">
        <v>952</v>
      </c>
      <c r="E103" s="228" t="s">
        <v>873</v>
      </c>
      <c r="F103" s="226"/>
      <c r="G103" s="115" t="s">
        <v>1039</v>
      </c>
      <c r="H103" s="229"/>
      <c r="I103" s="26">
        <v>42000000</v>
      </c>
      <c r="J103" s="268">
        <v>42000000</v>
      </c>
      <c r="K103" s="100">
        <f t="shared" si="1"/>
        <v>0</v>
      </c>
    </row>
    <row r="104" spans="1:11" ht="15">
      <c r="A104" s="175">
        <v>44245</v>
      </c>
      <c r="B104" s="157" t="s">
        <v>1001</v>
      </c>
      <c r="C104" s="28" t="s">
        <v>953</v>
      </c>
      <c r="D104" s="28" t="s">
        <v>954</v>
      </c>
      <c r="E104" s="228" t="s">
        <v>874</v>
      </c>
      <c r="F104" s="226"/>
      <c r="G104" s="115" t="s">
        <v>1040</v>
      </c>
      <c r="H104" s="229"/>
      <c r="I104" s="26">
        <v>25804800</v>
      </c>
      <c r="J104" s="268">
        <v>25804800</v>
      </c>
      <c r="K104" s="100">
        <f t="shared" si="1"/>
        <v>0</v>
      </c>
    </row>
    <row r="105" spans="1:11" ht="15">
      <c r="A105" s="175">
        <v>44246</v>
      </c>
      <c r="B105" s="157" t="s">
        <v>1002</v>
      </c>
      <c r="C105" s="28" t="s">
        <v>889</v>
      </c>
      <c r="D105" s="28" t="s">
        <v>955</v>
      </c>
      <c r="E105" s="228" t="s">
        <v>824</v>
      </c>
      <c r="F105" s="226"/>
      <c r="G105" s="115" t="s">
        <v>294</v>
      </c>
      <c r="H105" s="229"/>
      <c r="I105" s="26">
        <v>95660</v>
      </c>
      <c r="J105" s="268">
        <v>95660</v>
      </c>
      <c r="K105" s="100">
        <f t="shared" si="1"/>
        <v>0</v>
      </c>
    </row>
    <row r="106" spans="1:11" ht="15">
      <c r="A106" s="175">
        <v>44246</v>
      </c>
      <c r="B106" s="157" t="s">
        <v>1003</v>
      </c>
      <c r="C106" s="28" t="s">
        <v>889</v>
      </c>
      <c r="D106" s="28" t="s">
        <v>956</v>
      </c>
      <c r="E106" s="228" t="s">
        <v>875</v>
      </c>
      <c r="F106" s="226"/>
      <c r="G106" s="115" t="s">
        <v>1013</v>
      </c>
      <c r="H106" s="229"/>
      <c r="I106" s="26">
        <v>64170</v>
      </c>
      <c r="J106" s="268">
        <v>64170</v>
      </c>
      <c r="K106" s="100">
        <f t="shared" si="1"/>
        <v>0</v>
      </c>
    </row>
    <row r="107" spans="1:11" ht="15">
      <c r="A107" s="175">
        <v>44246</v>
      </c>
      <c r="B107" s="157" t="s">
        <v>902</v>
      </c>
      <c r="C107" s="28" t="s">
        <v>957</v>
      </c>
      <c r="D107" s="28" t="s">
        <v>931</v>
      </c>
      <c r="E107" s="228" t="s">
        <v>876</v>
      </c>
      <c r="F107" s="226"/>
      <c r="G107" s="115" t="s">
        <v>1041</v>
      </c>
      <c r="H107" s="229"/>
      <c r="I107" s="26">
        <v>25804800</v>
      </c>
      <c r="J107" s="268">
        <v>25804800</v>
      </c>
      <c r="K107" s="100">
        <f t="shared" si="1"/>
        <v>0</v>
      </c>
    </row>
    <row r="108" spans="1:11" ht="15">
      <c r="A108" s="175">
        <v>44249</v>
      </c>
      <c r="B108" s="157" t="s">
        <v>907</v>
      </c>
      <c r="C108" s="28" t="s">
        <v>958</v>
      </c>
      <c r="D108" s="28" t="s">
        <v>959</v>
      </c>
      <c r="E108" s="228" t="s">
        <v>877</v>
      </c>
      <c r="F108" s="226"/>
      <c r="G108" s="115" t="s">
        <v>1042</v>
      </c>
      <c r="H108" s="229"/>
      <c r="I108" s="26">
        <v>30720000</v>
      </c>
      <c r="J108" s="268">
        <v>25429333</v>
      </c>
      <c r="K108" s="100">
        <f t="shared" si="1"/>
        <v>5290667</v>
      </c>
    </row>
    <row r="109" spans="1:11" ht="15">
      <c r="A109" s="175">
        <v>44249</v>
      </c>
      <c r="B109" s="157" t="s">
        <v>926</v>
      </c>
      <c r="C109" s="28" t="s">
        <v>960</v>
      </c>
      <c r="D109" s="28" t="s">
        <v>961</v>
      </c>
      <c r="E109" s="228" t="s">
        <v>878</v>
      </c>
      <c r="F109" s="226"/>
      <c r="G109" s="115" t="s">
        <v>1043</v>
      </c>
      <c r="H109" s="229"/>
      <c r="I109" s="26">
        <v>25804800</v>
      </c>
      <c r="J109" s="268">
        <v>22794240</v>
      </c>
      <c r="K109" s="100">
        <f t="shared" si="1"/>
        <v>3010560</v>
      </c>
    </row>
    <row r="110" spans="1:11" ht="15">
      <c r="A110" s="175">
        <v>44250</v>
      </c>
      <c r="B110" s="157" t="s">
        <v>933</v>
      </c>
      <c r="C110" s="28" t="s">
        <v>962</v>
      </c>
      <c r="D110" s="28" t="s">
        <v>963</v>
      </c>
      <c r="E110" s="228" t="s">
        <v>402</v>
      </c>
      <c r="F110" s="226"/>
      <c r="G110" s="115" t="s">
        <v>1044</v>
      </c>
      <c r="H110" s="229"/>
      <c r="I110" s="26">
        <v>26165548</v>
      </c>
      <c r="J110" s="268">
        <v>26165548</v>
      </c>
      <c r="K110" s="100">
        <f t="shared" si="1"/>
        <v>0</v>
      </c>
    </row>
    <row r="111" spans="1:11" ht="15">
      <c r="A111" s="175">
        <v>44251</v>
      </c>
      <c r="B111" s="157" t="s">
        <v>1004</v>
      </c>
      <c r="C111" s="28" t="s">
        <v>964</v>
      </c>
      <c r="D111" s="28" t="s">
        <v>965</v>
      </c>
      <c r="E111" s="228" t="s">
        <v>879</v>
      </c>
      <c r="F111" s="226"/>
      <c r="G111" s="115" t="s">
        <v>1045</v>
      </c>
      <c r="H111" s="229"/>
      <c r="I111" s="26">
        <v>33000000</v>
      </c>
      <c r="J111" s="268">
        <v>32816667</v>
      </c>
      <c r="K111" s="100">
        <f t="shared" si="1"/>
        <v>183333</v>
      </c>
    </row>
    <row r="112" spans="1:11" ht="15">
      <c r="A112" s="175">
        <v>44252</v>
      </c>
      <c r="B112" s="157" t="s">
        <v>1005</v>
      </c>
      <c r="C112" s="28" t="s">
        <v>966</v>
      </c>
      <c r="D112" s="28" t="s">
        <v>944</v>
      </c>
      <c r="E112" s="228" t="s">
        <v>880</v>
      </c>
      <c r="F112" s="226"/>
      <c r="G112" s="115" t="s">
        <v>1046</v>
      </c>
      <c r="H112" s="229"/>
      <c r="I112" s="26">
        <f>26165548-22676809</f>
        <v>3488739</v>
      </c>
      <c r="J112" s="268">
        <v>3488739</v>
      </c>
      <c r="K112" s="100">
        <f t="shared" si="1"/>
        <v>0</v>
      </c>
    </row>
    <row r="113" spans="1:11" ht="15">
      <c r="A113" s="175">
        <v>44253</v>
      </c>
      <c r="B113" s="157" t="s">
        <v>1006</v>
      </c>
      <c r="C113" s="28" t="s">
        <v>967</v>
      </c>
      <c r="D113" s="28" t="s">
        <v>968</v>
      </c>
      <c r="E113" s="228" t="s">
        <v>881</v>
      </c>
      <c r="F113" s="226"/>
      <c r="G113" s="115" t="s">
        <v>1047</v>
      </c>
      <c r="H113" s="229"/>
      <c r="I113" s="26">
        <v>26166000</v>
      </c>
      <c r="J113" s="268">
        <v>26166000</v>
      </c>
      <c r="K113" s="100">
        <f t="shared" si="1"/>
        <v>0</v>
      </c>
    </row>
    <row r="114" spans="1:11" ht="15">
      <c r="A114" s="175">
        <v>44253</v>
      </c>
      <c r="B114" s="157" t="s">
        <v>1007</v>
      </c>
      <c r="C114" s="28" t="s">
        <v>969</v>
      </c>
      <c r="D114" s="28" t="s">
        <v>953</v>
      </c>
      <c r="E114" s="228" t="s">
        <v>882</v>
      </c>
      <c r="F114" s="226"/>
      <c r="G114" s="115" t="s">
        <v>1048</v>
      </c>
      <c r="H114" s="229"/>
      <c r="I114" s="26">
        <v>26166000</v>
      </c>
      <c r="J114" s="268">
        <v>26166000</v>
      </c>
      <c r="K114" s="100">
        <f t="shared" si="1"/>
        <v>0</v>
      </c>
    </row>
    <row r="115" spans="1:11" ht="15">
      <c r="A115" s="175">
        <v>44257</v>
      </c>
      <c r="B115" s="157" t="s">
        <v>1183</v>
      </c>
      <c r="C115" s="28" t="s">
        <v>1481</v>
      </c>
      <c r="D115" s="28" t="s">
        <v>946</v>
      </c>
      <c r="E115" s="228" t="s">
        <v>1464</v>
      </c>
      <c r="F115" s="226"/>
      <c r="G115" s="115" t="s">
        <v>1513</v>
      </c>
      <c r="H115" s="229"/>
      <c r="I115" s="26">
        <v>26166000</v>
      </c>
      <c r="J115" s="268">
        <v>25584533</v>
      </c>
      <c r="K115" s="100">
        <f t="shared" si="1"/>
        <v>581467</v>
      </c>
    </row>
    <row r="116" spans="1:11" ht="15">
      <c r="A116" s="175">
        <v>44258</v>
      </c>
      <c r="B116" s="157" t="s">
        <v>1504</v>
      </c>
      <c r="C116" s="28" t="s">
        <v>889</v>
      </c>
      <c r="D116" s="28" t="s">
        <v>1482</v>
      </c>
      <c r="E116" s="228" t="s">
        <v>1465</v>
      </c>
      <c r="F116" s="226"/>
      <c r="G116" s="115" t="s">
        <v>42</v>
      </c>
      <c r="H116" s="229"/>
      <c r="I116" s="26">
        <v>94834</v>
      </c>
      <c r="J116" s="26">
        <v>94834</v>
      </c>
      <c r="K116" s="100">
        <f t="shared" si="1"/>
        <v>0</v>
      </c>
    </row>
    <row r="117" spans="1:11" ht="15">
      <c r="A117" s="175">
        <v>44259</v>
      </c>
      <c r="B117" s="157" t="s">
        <v>925</v>
      </c>
      <c r="C117" s="28" t="s">
        <v>1483</v>
      </c>
      <c r="D117" s="28" t="s">
        <v>1113</v>
      </c>
      <c r="E117" s="228" t="s">
        <v>1466</v>
      </c>
      <c r="F117" s="226"/>
      <c r="G117" s="115" t="s">
        <v>1514</v>
      </c>
      <c r="H117" s="229"/>
      <c r="I117" s="26">
        <v>26166000</v>
      </c>
      <c r="J117" s="26">
        <v>26166000</v>
      </c>
      <c r="K117" s="100">
        <f t="shared" si="1"/>
        <v>0</v>
      </c>
    </row>
    <row r="118" spans="1:11" ht="15">
      <c r="A118" s="175">
        <v>44259</v>
      </c>
      <c r="B118" s="157" t="s">
        <v>941</v>
      </c>
      <c r="C118" s="28" t="s">
        <v>1484</v>
      </c>
      <c r="D118" s="28" t="s">
        <v>1485</v>
      </c>
      <c r="E118" s="228" t="s">
        <v>1466</v>
      </c>
      <c r="F118" s="226"/>
      <c r="G118" s="115" t="s">
        <v>1515</v>
      </c>
      <c r="H118" s="229"/>
      <c r="I118" s="26">
        <v>26166000</v>
      </c>
      <c r="J118" s="26">
        <v>0</v>
      </c>
      <c r="K118" s="100">
        <f t="shared" si="1"/>
        <v>26166000</v>
      </c>
    </row>
    <row r="119" spans="1:11" ht="15">
      <c r="A119" s="175">
        <v>44260</v>
      </c>
      <c r="B119" s="157" t="s">
        <v>1505</v>
      </c>
      <c r="C119" s="28" t="s">
        <v>889</v>
      </c>
      <c r="D119" s="28" t="s">
        <v>960</v>
      </c>
      <c r="E119" s="228" t="s">
        <v>1467</v>
      </c>
      <c r="F119" s="226"/>
      <c r="G119" s="115" t="s">
        <v>294</v>
      </c>
      <c r="H119" s="229"/>
      <c r="I119" s="26">
        <v>219130</v>
      </c>
      <c r="J119" s="26">
        <v>219130</v>
      </c>
      <c r="K119" s="100">
        <f t="shared" si="1"/>
        <v>0</v>
      </c>
    </row>
    <row r="120" spans="1:11" ht="15">
      <c r="A120" s="175">
        <v>44260</v>
      </c>
      <c r="B120" s="157" t="s">
        <v>1506</v>
      </c>
      <c r="C120" s="28" t="s">
        <v>889</v>
      </c>
      <c r="D120" s="28" t="s">
        <v>1237</v>
      </c>
      <c r="E120" s="228" t="s">
        <v>1468</v>
      </c>
      <c r="F120" s="226"/>
      <c r="G120" s="115" t="s">
        <v>43</v>
      </c>
      <c r="H120" s="229"/>
      <c r="I120" s="26">
        <v>448390</v>
      </c>
      <c r="J120" s="26">
        <v>448390</v>
      </c>
      <c r="K120" s="100">
        <f t="shared" si="1"/>
        <v>0</v>
      </c>
    </row>
    <row r="121" spans="1:11" ht="15">
      <c r="A121" s="175">
        <v>44264</v>
      </c>
      <c r="B121" s="157" t="s">
        <v>1507</v>
      </c>
      <c r="C121" s="28" t="s">
        <v>889</v>
      </c>
      <c r="D121" s="28" t="s">
        <v>1486</v>
      </c>
      <c r="E121" s="228" t="s">
        <v>1469</v>
      </c>
      <c r="F121" s="226"/>
      <c r="G121" s="115" t="s">
        <v>294</v>
      </c>
      <c r="H121" s="229"/>
      <c r="I121" s="26">
        <v>277280</v>
      </c>
      <c r="J121" s="26">
        <v>277280</v>
      </c>
      <c r="K121" s="100">
        <f t="shared" si="1"/>
        <v>0</v>
      </c>
    </row>
    <row r="122" spans="1:11" ht="15">
      <c r="A122" s="175">
        <v>44264</v>
      </c>
      <c r="B122" s="157" t="s">
        <v>1508</v>
      </c>
      <c r="C122" s="28" t="s">
        <v>889</v>
      </c>
      <c r="D122" s="28" t="s">
        <v>966</v>
      </c>
      <c r="E122" s="228" t="s">
        <v>1470</v>
      </c>
      <c r="F122" s="226"/>
      <c r="G122" s="188" t="s">
        <v>43</v>
      </c>
      <c r="H122" s="229"/>
      <c r="I122" s="26">
        <v>51340</v>
      </c>
      <c r="J122" s="191">
        <v>51340</v>
      </c>
      <c r="K122" s="100">
        <f t="shared" si="1"/>
        <v>0</v>
      </c>
    </row>
    <row r="123" spans="1:11" ht="15">
      <c r="A123" s="175">
        <v>44264</v>
      </c>
      <c r="B123" s="157" t="s">
        <v>932</v>
      </c>
      <c r="C123" s="28" t="s">
        <v>1487</v>
      </c>
      <c r="D123" s="28" t="s">
        <v>1196</v>
      </c>
      <c r="E123" s="228" t="s">
        <v>1471</v>
      </c>
      <c r="F123" s="226"/>
      <c r="G123" s="188" t="s">
        <v>1516</v>
      </c>
      <c r="H123" s="229"/>
      <c r="I123" s="26">
        <v>26166000</v>
      </c>
      <c r="J123" s="268">
        <v>26166000</v>
      </c>
      <c r="K123" s="100">
        <f t="shared" si="1"/>
        <v>0</v>
      </c>
    </row>
    <row r="124" spans="1:11" ht="15">
      <c r="A124" s="175">
        <v>44264</v>
      </c>
      <c r="B124" s="157" t="s">
        <v>1096</v>
      </c>
      <c r="C124" s="28" t="s">
        <v>1488</v>
      </c>
      <c r="D124" s="28" t="s">
        <v>1489</v>
      </c>
      <c r="E124" s="228" t="s">
        <v>1472</v>
      </c>
      <c r="F124" s="226"/>
      <c r="G124" s="188" t="s">
        <v>1517</v>
      </c>
      <c r="H124" s="229"/>
      <c r="I124" s="26">
        <v>26166000</v>
      </c>
      <c r="J124" s="268">
        <v>26166000</v>
      </c>
      <c r="K124" s="100">
        <f t="shared" si="1"/>
        <v>0</v>
      </c>
    </row>
    <row r="125" spans="1:11" ht="15">
      <c r="A125" s="175">
        <v>44265</v>
      </c>
      <c r="B125" s="157" t="s">
        <v>923</v>
      </c>
      <c r="C125" s="28" t="s">
        <v>1490</v>
      </c>
      <c r="D125" s="28" t="s">
        <v>1481</v>
      </c>
      <c r="E125" s="228" t="s">
        <v>1473</v>
      </c>
      <c r="F125" s="226"/>
      <c r="G125" s="188" t="s">
        <v>1518</v>
      </c>
      <c r="H125" s="229"/>
      <c r="I125" s="26">
        <v>36000000</v>
      </c>
      <c r="J125" s="268">
        <v>36000000</v>
      </c>
      <c r="K125" s="100">
        <f t="shared" si="1"/>
        <v>0</v>
      </c>
    </row>
    <row r="126" spans="1:11" ht="15">
      <c r="A126" s="175">
        <v>44265</v>
      </c>
      <c r="B126" s="157" t="s">
        <v>1098</v>
      </c>
      <c r="C126" s="28" t="s">
        <v>1491</v>
      </c>
      <c r="D126" s="28" t="s">
        <v>1492</v>
      </c>
      <c r="E126" s="228" t="s">
        <v>1474</v>
      </c>
      <c r="F126" s="226"/>
      <c r="G126" s="188" t="s">
        <v>1519</v>
      </c>
      <c r="H126" s="229"/>
      <c r="I126" s="26">
        <v>15697920</v>
      </c>
      <c r="J126" s="268">
        <v>15697920</v>
      </c>
      <c r="K126" s="100">
        <f t="shared" si="1"/>
        <v>0</v>
      </c>
    </row>
    <row r="127" spans="1:11" ht="15">
      <c r="A127" s="175">
        <v>44267</v>
      </c>
      <c r="B127" s="157" t="s">
        <v>949</v>
      </c>
      <c r="C127" s="28" t="s">
        <v>1493</v>
      </c>
      <c r="D127" s="28" t="s">
        <v>1484</v>
      </c>
      <c r="E127" s="228" t="s">
        <v>1475</v>
      </c>
      <c r="F127" s="226"/>
      <c r="G127" s="188" t="s">
        <v>1520</v>
      </c>
      <c r="H127" s="229"/>
      <c r="I127" s="26">
        <v>25200000</v>
      </c>
      <c r="J127" s="268">
        <v>25200000</v>
      </c>
      <c r="K127" s="100">
        <f t="shared" si="1"/>
        <v>0</v>
      </c>
    </row>
    <row r="128" spans="1:11" ht="15">
      <c r="A128" s="175">
        <v>44273</v>
      </c>
      <c r="B128" s="157" t="s">
        <v>1182</v>
      </c>
      <c r="C128" s="28" t="s">
        <v>1494</v>
      </c>
      <c r="D128" s="28" t="s">
        <v>1495</v>
      </c>
      <c r="E128" s="228" t="s">
        <v>1464</v>
      </c>
      <c r="F128" s="226"/>
      <c r="G128" s="188" t="s">
        <v>1521</v>
      </c>
      <c r="H128" s="229"/>
      <c r="I128" s="26">
        <v>26166000</v>
      </c>
      <c r="J128" s="268">
        <v>26166000</v>
      </c>
      <c r="K128" s="100">
        <f t="shared" si="1"/>
        <v>0</v>
      </c>
    </row>
    <row r="129" spans="1:11" ht="15">
      <c r="A129" s="175">
        <v>44278</v>
      </c>
      <c r="B129" s="157" t="s">
        <v>1455</v>
      </c>
      <c r="C129" s="28" t="s">
        <v>1496</v>
      </c>
      <c r="D129" s="28" t="s">
        <v>1497</v>
      </c>
      <c r="E129" s="228" t="s">
        <v>1476</v>
      </c>
      <c r="F129" s="226"/>
      <c r="G129" s="188" t="s">
        <v>1522</v>
      </c>
      <c r="H129" s="229"/>
      <c r="I129" s="26">
        <v>18000000</v>
      </c>
      <c r="J129" s="268">
        <v>18000000</v>
      </c>
      <c r="K129" s="100">
        <f t="shared" si="1"/>
        <v>0</v>
      </c>
    </row>
    <row r="130" spans="1:11" ht="15">
      <c r="A130" s="175">
        <v>44281</v>
      </c>
      <c r="B130" s="157" t="s">
        <v>951</v>
      </c>
      <c r="C130" s="28" t="s">
        <v>1498</v>
      </c>
      <c r="D130" s="28" t="s">
        <v>1499</v>
      </c>
      <c r="E130" s="228" t="s">
        <v>1464</v>
      </c>
      <c r="F130" s="226"/>
      <c r="G130" s="188" t="s">
        <v>1523</v>
      </c>
      <c r="H130" s="229"/>
      <c r="I130" s="26">
        <v>26166000</v>
      </c>
      <c r="J130" s="268">
        <v>22531833</v>
      </c>
      <c r="K130" s="100">
        <f t="shared" si="1"/>
        <v>3634167</v>
      </c>
    </row>
    <row r="131" spans="1:11" ht="15">
      <c r="A131" s="175">
        <v>44285</v>
      </c>
      <c r="B131" s="157" t="s">
        <v>1509</v>
      </c>
      <c r="C131" s="28" t="s">
        <v>889</v>
      </c>
      <c r="D131" s="28" t="s">
        <v>1500</v>
      </c>
      <c r="E131" s="228" t="s">
        <v>1477</v>
      </c>
      <c r="F131" s="226"/>
      <c r="G131" s="188" t="s">
        <v>294</v>
      </c>
      <c r="H131" s="229"/>
      <c r="I131" s="26">
        <v>206070</v>
      </c>
      <c r="J131" s="26">
        <v>206070</v>
      </c>
      <c r="K131" s="100">
        <f t="shared" si="1"/>
        <v>0</v>
      </c>
    </row>
    <row r="132" spans="1:11" ht="15">
      <c r="A132" s="175">
        <v>44285</v>
      </c>
      <c r="B132" s="157" t="s">
        <v>1510</v>
      </c>
      <c r="C132" s="28" t="s">
        <v>889</v>
      </c>
      <c r="D132" s="28" t="s">
        <v>1501</v>
      </c>
      <c r="E132" s="228" t="s">
        <v>1478</v>
      </c>
      <c r="F132" s="226"/>
      <c r="G132" s="188" t="s">
        <v>43</v>
      </c>
      <c r="H132" s="229"/>
      <c r="I132" s="26">
        <v>36350</v>
      </c>
      <c r="J132" s="26">
        <v>36350</v>
      </c>
      <c r="K132" s="100">
        <f t="shared" si="1"/>
        <v>0</v>
      </c>
    </row>
    <row r="133" spans="1:11" ht="15">
      <c r="A133" s="175">
        <v>44286</v>
      </c>
      <c r="B133" s="157" t="s">
        <v>1511</v>
      </c>
      <c r="C133" s="28" t="s">
        <v>889</v>
      </c>
      <c r="D133" s="28" t="s">
        <v>1502</v>
      </c>
      <c r="E133" s="228" t="s">
        <v>1479</v>
      </c>
      <c r="F133" s="226"/>
      <c r="G133" s="188" t="s">
        <v>294</v>
      </c>
      <c r="H133" s="229"/>
      <c r="I133" s="26">
        <v>82660</v>
      </c>
      <c r="J133" s="26">
        <v>82660</v>
      </c>
      <c r="K133" s="100">
        <f t="shared" si="1"/>
        <v>0</v>
      </c>
    </row>
    <row r="134" spans="1:11" ht="15">
      <c r="A134" s="175">
        <v>44286</v>
      </c>
      <c r="B134" s="157" t="s">
        <v>1512</v>
      </c>
      <c r="C134" s="28" t="s">
        <v>889</v>
      </c>
      <c r="D134" s="28" t="s">
        <v>1503</v>
      </c>
      <c r="E134" s="228" t="s">
        <v>1480</v>
      </c>
      <c r="F134" s="226"/>
      <c r="G134" s="188" t="s">
        <v>1013</v>
      </c>
      <c r="H134" s="229"/>
      <c r="I134" s="26">
        <v>36240</v>
      </c>
      <c r="J134" s="26">
        <v>36240</v>
      </c>
      <c r="K134" s="100">
        <f t="shared" si="1"/>
        <v>0</v>
      </c>
    </row>
    <row r="135" spans="1:11" ht="15">
      <c r="A135" s="175">
        <v>44292</v>
      </c>
      <c r="B135" s="157" t="s">
        <v>1191</v>
      </c>
      <c r="C135" s="28" t="s">
        <v>1715</v>
      </c>
      <c r="D135" s="28" t="s">
        <v>1546</v>
      </c>
      <c r="E135" s="228" t="s">
        <v>1760</v>
      </c>
      <c r="F135" s="226"/>
      <c r="G135" s="188" t="s">
        <v>1751</v>
      </c>
      <c r="H135" s="229"/>
      <c r="I135" s="26">
        <v>48000000</v>
      </c>
      <c r="J135" s="26">
        <v>48000000</v>
      </c>
      <c r="K135" s="100">
        <f t="shared" si="1"/>
        <v>0</v>
      </c>
    </row>
    <row r="136" spans="1:11" ht="15">
      <c r="A136" s="175">
        <v>44294</v>
      </c>
      <c r="B136" s="157" t="s">
        <v>1739</v>
      </c>
      <c r="C136" s="28" t="s">
        <v>889</v>
      </c>
      <c r="D136" s="28" t="s">
        <v>1701</v>
      </c>
      <c r="E136" s="228" t="s">
        <v>1761</v>
      </c>
      <c r="F136" s="226"/>
      <c r="G136" s="188" t="s">
        <v>294</v>
      </c>
      <c r="H136" s="229"/>
      <c r="I136" s="26">
        <v>242110</v>
      </c>
      <c r="J136" s="26">
        <v>242110</v>
      </c>
      <c r="K136" s="100">
        <f t="shared" si="1"/>
        <v>0</v>
      </c>
    </row>
    <row r="137" spans="1:11" ht="15">
      <c r="A137" s="175">
        <v>44294</v>
      </c>
      <c r="B137" s="157" t="s">
        <v>1740</v>
      </c>
      <c r="C137" s="28" t="s">
        <v>889</v>
      </c>
      <c r="D137" s="28" t="s">
        <v>1597</v>
      </c>
      <c r="E137" s="228" t="s">
        <v>1762</v>
      </c>
      <c r="F137" s="226"/>
      <c r="G137" s="188" t="s">
        <v>43</v>
      </c>
      <c r="H137" s="229"/>
      <c r="I137" s="26">
        <v>498380</v>
      </c>
      <c r="J137" s="26">
        <v>498380</v>
      </c>
      <c r="K137" s="100">
        <f t="shared" si="1"/>
        <v>0</v>
      </c>
    </row>
    <row r="138" spans="1:11" ht="15">
      <c r="A138" s="27">
        <v>44298</v>
      </c>
      <c r="B138" s="157" t="s">
        <v>1741</v>
      </c>
      <c r="C138" s="28" t="s">
        <v>1716</v>
      </c>
      <c r="D138" s="28" t="s">
        <v>1717</v>
      </c>
      <c r="E138" s="228" t="s">
        <v>1763</v>
      </c>
      <c r="F138" s="226"/>
      <c r="G138" s="188" t="s">
        <v>1752</v>
      </c>
      <c r="H138" s="229"/>
      <c r="I138" s="26">
        <v>52200000</v>
      </c>
      <c r="J138" s="26">
        <v>51800000</v>
      </c>
      <c r="K138" s="100">
        <f t="shared" si="1"/>
        <v>400000</v>
      </c>
    </row>
    <row r="139" spans="1:11" ht="15">
      <c r="A139" s="27">
        <v>44298</v>
      </c>
      <c r="B139" s="157" t="s">
        <v>1742</v>
      </c>
      <c r="C139" s="28" t="s">
        <v>889</v>
      </c>
      <c r="D139" s="28" t="s">
        <v>1718</v>
      </c>
      <c r="E139" s="228" t="s">
        <v>1764</v>
      </c>
      <c r="F139" s="226"/>
      <c r="G139" s="188" t="s">
        <v>294</v>
      </c>
      <c r="H139" s="229"/>
      <c r="I139" s="26">
        <v>291510</v>
      </c>
      <c r="J139" s="26">
        <v>291510</v>
      </c>
      <c r="K139" s="100">
        <f t="shared" si="1"/>
        <v>0</v>
      </c>
    </row>
    <row r="140" spans="1:11" ht="15">
      <c r="A140" s="27">
        <v>44298</v>
      </c>
      <c r="B140" s="157" t="s">
        <v>1743</v>
      </c>
      <c r="C140" s="28" t="s">
        <v>889</v>
      </c>
      <c r="D140" s="28" t="s">
        <v>1715</v>
      </c>
      <c r="E140" s="228" t="s">
        <v>1765</v>
      </c>
      <c r="F140" s="226"/>
      <c r="G140" s="188" t="s">
        <v>43</v>
      </c>
      <c r="H140" s="229"/>
      <c r="I140" s="26">
        <v>50540</v>
      </c>
      <c r="J140" s="26">
        <v>50540</v>
      </c>
      <c r="K140" s="100">
        <f t="shared" si="1"/>
        <v>0</v>
      </c>
    </row>
    <row r="141" spans="1:11" ht="15">
      <c r="A141" s="27">
        <v>44298</v>
      </c>
      <c r="B141" s="157" t="s">
        <v>1192</v>
      </c>
      <c r="C141" s="28" t="s">
        <v>1719</v>
      </c>
      <c r="D141" s="28" t="s">
        <v>1720</v>
      </c>
      <c r="E141" s="228" t="s">
        <v>1766</v>
      </c>
      <c r="F141" s="226"/>
      <c r="G141" s="188" t="s">
        <v>1753</v>
      </c>
      <c r="H141" s="229"/>
      <c r="I141" s="26">
        <v>31800000</v>
      </c>
      <c r="J141" s="26">
        <v>31800000</v>
      </c>
      <c r="K141" s="100">
        <f t="shared" si="2" ref="K141:K311">+I141-J141</f>
        <v>0</v>
      </c>
    </row>
    <row r="142" spans="1:11" ht="15">
      <c r="A142" s="27">
        <v>44298</v>
      </c>
      <c r="B142" s="157" t="s">
        <v>962</v>
      </c>
      <c r="C142" s="28" t="s">
        <v>1721</v>
      </c>
      <c r="D142" s="28" t="s">
        <v>1722</v>
      </c>
      <c r="E142" s="228" t="s">
        <v>1767</v>
      </c>
      <c r="F142" s="226"/>
      <c r="G142" s="188" t="s">
        <v>1754</v>
      </c>
      <c r="H142" s="229"/>
      <c r="I142" s="26">
        <v>15804000</v>
      </c>
      <c r="J142" s="26">
        <v>15804000</v>
      </c>
      <c r="K142" s="100">
        <f t="shared" si="2"/>
        <v>0</v>
      </c>
    </row>
    <row r="143" spans="1:11" ht="15">
      <c r="A143" s="27">
        <v>44298</v>
      </c>
      <c r="B143" s="157" t="s">
        <v>1730</v>
      </c>
      <c r="C143" s="28" t="s">
        <v>1723</v>
      </c>
      <c r="D143" s="28" t="s">
        <v>1724</v>
      </c>
      <c r="E143" s="228" t="s">
        <v>1768</v>
      </c>
      <c r="F143" s="226"/>
      <c r="G143" s="188" t="s">
        <v>1755</v>
      </c>
      <c r="H143" s="229"/>
      <c r="I143" s="26">
        <v>52200000</v>
      </c>
      <c r="J143" s="26">
        <v>51400000</v>
      </c>
      <c r="K143" s="100">
        <f t="shared" si="2"/>
        <v>800000</v>
      </c>
    </row>
    <row r="144" spans="1:11" ht="15">
      <c r="A144" s="27">
        <v>44302</v>
      </c>
      <c r="B144" s="157" t="s">
        <v>1194</v>
      </c>
      <c r="C144" s="28" t="s">
        <v>1725</v>
      </c>
      <c r="D144" s="28" t="s">
        <v>1725</v>
      </c>
      <c r="E144" s="228" t="s">
        <v>1769</v>
      </c>
      <c r="F144" s="226"/>
      <c r="G144" s="188" t="s">
        <v>1756</v>
      </c>
      <c r="H144" s="229"/>
      <c r="I144" s="26">
        <v>17443700</v>
      </c>
      <c r="J144" s="26">
        <v>17443700</v>
      </c>
      <c r="K144" s="100">
        <f t="shared" si="2"/>
        <v>0</v>
      </c>
    </row>
    <row r="145" spans="1:11" ht="15">
      <c r="A145" s="27">
        <v>44305</v>
      </c>
      <c r="B145" s="157" t="s">
        <v>1744</v>
      </c>
      <c r="C145" s="28" t="s">
        <v>889</v>
      </c>
      <c r="D145" s="28" t="s">
        <v>1726</v>
      </c>
      <c r="E145" s="228" t="s">
        <v>1770</v>
      </c>
      <c r="F145" s="226"/>
      <c r="G145" s="188" t="s">
        <v>294</v>
      </c>
      <c r="H145" s="229"/>
      <c r="I145" s="26">
        <v>193640</v>
      </c>
      <c r="J145" s="26">
        <v>193640</v>
      </c>
      <c r="K145" s="100">
        <f t="shared" si="2"/>
        <v>0</v>
      </c>
    </row>
    <row r="146" spans="1:11" ht="15">
      <c r="A146" s="27">
        <v>44305</v>
      </c>
      <c r="B146" s="157" t="s">
        <v>1745</v>
      </c>
      <c r="C146" s="28" t="s">
        <v>889</v>
      </c>
      <c r="D146" s="28" t="s">
        <v>1727</v>
      </c>
      <c r="E146" s="228" t="s">
        <v>1771</v>
      </c>
      <c r="F146" s="226"/>
      <c r="G146" s="188" t="s">
        <v>43</v>
      </c>
      <c r="H146" s="229"/>
      <c r="I146" s="26">
        <v>70450</v>
      </c>
      <c r="J146" s="26">
        <v>70450</v>
      </c>
      <c r="K146" s="100">
        <f t="shared" si="2"/>
        <v>0</v>
      </c>
    </row>
    <row r="147" spans="1:11" ht="15">
      <c r="A147" s="27">
        <v>44309</v>
      </c>
      <c r="B147" s="157" t="s">
        <v>1579</v>
      </c>
      <c r="C147" s="28" t="s">
        <v>1728</v>
      </c>
      <c r="D147" s="28" t="s">
        <v>1729</v>
      </c>
      <c r="E147" s="228" t="s">
        <v>1772</v>
      </c>
      <c r="F147" s="226"/>
      <c r="G147" s="188" t="s">
        <v>1757</v>
      </c>
      <c r="H147" s="229"/>
      <c r="I147" s="26">
        <v>30000000</v>
      </c>
      <c r="J147" s="26">
        <v>30000000</v>
      </c>
      <c r="K147" s="100">
        <f t="shared" si="2"/>
        <v>0</v>
      </c>
    </row>
    <row r="148" spans="1:11" ht="15">
      <c r="A148" s="27">
        <v>44309</v>
      </c>
      <c r="B148" s="157" t="s">
        <v>1581</v>
      </c>
      <c r="C148" s="28" t="s">
        <v>1730</v>
      </c>
      <c r="D148" s="28" t="s">
        <v>1731</v>
      </c>
      <c r="E148" s="228" t="s">
        <v>1773</v>
      </c>
      <c r="F148" s="226"/>
      <c r="G148" s="188" t="s">
        <v>1758</v>
      </c>
      <c r="H148" s="229"/>
      <c r="I148" s="26">
        <v>169200000</v>
      </c>
      <c r="J148" s="26">
        <v>86488876</v>
      </c>
      <c r="K148" s="100">
        <f t="shared" si="2"/>
        <v>82711124</v>
      </c>
    </row>
    <row r="149" spans="1:11" ht="15">
      <c r="A149" s="27">
        <v>44312</v>
      </c>
      <c r="B149" s="157" t="s">
        <v>1746</v>
      </c>
      <c r="C149" s="28" t="s">
        <v>889</v>
      </c>
      <c r="D149" s="28" t="s">
        <v>1732</v>
      </c>
      <c r="E149" s="228" t="s">
        <v>1774</v>
      </c>
      <c r="F149" s="226"/>
      <c r="G149" s="188" t="s">
        <v>372</v>
      </c>
      <c r="H149" s="229"/>
      <c r="I149" s="26">
        <v>897720</v>
      </c>
      <c r="J149" s="26">
        <v>897720</v>
      </c>
      <c r="K149" s="100">
        <f t="shared" si="2"/>
        <v>0</v>
      </c>
    </row>
    <row r="150" spans="1:11" ht="15">
      <c r="A150" s="27">
        <v>44315</v>
      </c>
      <c r="B150" s="157" t="s">
        <v>1576</v>
      </c>
      <c r="C150" s="28" t="s">
        <v>1732</v>
      </c>
      <c r="D150" s="28" t="s">
        <v>1733</v>
      </c>
      <c r="E150" s="228" t="s">
        <v>1775</v>
      </c>
      <c r="F150" s="226"/>
      <c r="G150" s="188" t="s">
        <v>1759</v>
      </c>
      <c r="H150" s="229"/>
      <c r="I150" s="26">
        <v>36000000</v>
      </c>
      <c r="J150" s="26">
        <v>36000000</v>
      </c>
      <c r="K150" s="100">
        <f t="shared" si="2"/>
        <v>0</v>
      </c>
    </row>
    <row r="151" spans="1:11" ht="15">
      <c r="A151" s="27">
        <v>44316</v>
      </c>
      <c r="B151" s="157" t="s">
        <v>1747</v>
      </c>
      <c r="C151" s="28" t="s">
        <v>889</v>
      </c>
      <c r="D151" s="28" t="s">
        <v>1734</v>
      </c>
      <c r="E151" s="228" t="s">
        <v>1776</v>
      </c>
      <c r="F151" s="226"/>
      <c r="G151" s="188" t="s">
        <v>42</v>
      </c>
      <c r="H151" s="229"/>
      <c r="I151" s="26">
        <v>111766</v>
      </c>
      <c r="J151" s="268">
        <v>111766</v>
      </c>
      <c r="K151" s="100">
        <f t="shared" si="2"/>
        <v>0</v>
      </c>
    </row>
    <row r="152" spans="1:11" ht="15">
      <c r="A152" s="27">
        <v>44316</v>
      </c>
      <c r="B152" s="157" t="s">
        <v>1748</v>
      </c>
      <c r="C152" s="28" t="s">
        <v>889</v>
      </c>
      <c r="D152" s="28" t="s">
        <v>1735</v>
      </c>
      <c r="E152" s="228" t="s">
        <v>1777</v>
      </c>
      <c r="F152" s="226"/>
      <c r="G152" s="188" t="s">
        <v>294</v>
      </c>
      <c r="H152" s="229"/>
      <c r="I152" s="26">
        <v>540</v>
      </c>
      <c r="J152" s="268">
        <v>540</v>
      </c>
      <c r="K152" s="100">
        <f t="shared" si="2"/>
        <v>0</v>
      </c>
    </row>
    <row r="153" spans="1:11" ht="15">
      <c r="A153" s="27">
        <v>44316</v>
      </c>
      <c r="B153" s="157" t="s">
        <v>1749</v>
      </c>
      <c r="C153" s="28" t="s">
        <v>889</v>
      </c>
      <c r="D153" s="28" t="s">
        <v>1736</v>
      </c>
      <c r="E153" s="228" t="s">
        <v>1778</v>
      </c>
      <c r="F153" s="226"/>
      <c r="G153" s="188" t="s">
        <v>1013</v>
      </c>
      <c r="H153" s="229"/>
      <c r="I153" s="26">
        <v>31960</v>
      </c>
      <c r="J153" s="268">
        <v>31960</v>
      </c>
      <c r="K153" s="100">
        <f t="shared" si="2"/>
        <v>0</v>
      </c>
    </row>
    <row r="154" spans="1:11" ht="15">
      <c r="A154" s="27">
        <v>44316</v>
      </c>
      <c r="B154" s="157" t="s">
        <v>1750</v>
      </c>
      <c r="C154" s="28" t="s">
        <v>1737</v>
      </c>
      <c r="D154" s="28" t="s">
        <v>1738</v>
      </c>
      <c r="E154" s="228" t="s">
        <v>1779</v>
      </c>
      <c r="F154" s="226"/>
      <c r="G154" s="188" t="s">
        <v>376</v>
      </c>
      <c r="H154" s="229"/>
      <c r="I154" s="26">
        <f>11081000-5279596</f>
        <v>5801404</v>
      </c>
      <c r="J154" s="26">
        <v>5801404</v>
      </c>
      <c r="K154" s="100">
        <f t="shared" si="2"/>
        <v>0</v>
      </c>
    </row>
    <row r="155" spans="1:11" ht="12" customHeight="1">
      <c r="A155" s="27">
        <v>44321</v>
      </c>
      <c r="B155" s="157" t="s">
        <v>1492</v>
      </c>
      <c r="C155" s="28" t="s">
        <v>1794</v>
      </c>
      <c r="D155" s="28" t="s">
        <v>1920</v>
      </c>
      <c r="E155" s="228" t="s">
        <v>1957</v>
      </c>
      <c r="F155" s="226"/>
      <c r="G155" s="188" t="s">
        <v>1976</v>
      </c>
      <c r="H155" s="229"/>
      <c r="I155" s="26">
        <v>96021531</v>
      </c>
      <c r="J155" s="26">
        <v>83574296</v>
      </c>
      <c r="K155" s="100">
        <f t="shared" si="2"/>
        <v>12447235</v>
      </c>
    </row>
    <row r="156" spans="1:11" ht="15" customHeight="1">
      <c r="A156" s="27">
        <v>44323</v>
      </c>
      <c r="B156" s="157" t="s">
        <v>1596</v>
      </c>
      <c r="C156" s="28" t="s">
        <v>1921</v>
      </c>
      <c r="D156" s="28" t="s">
        <v>1922</v>
      </c>
      <c r="E156" s="228" t="s">
        <v>1958</v>
      </c>
      <c r="F156" s="226"/>
      <c r="G156" s="188" t="s">
        <v>1977</v>
      </c>
      <c r="H156" s="229"/>
      <c r="I156" s="26">
        <v>34887392</v>
      </c>
      <c r="J156" s="26">
        <v>16135418</v>
      </c>
      <c r="K156" s="100">
        <f t="shared" si="2"/>
        <v>18751974</v>
      </c>
    </row>
    <row r="157" spans="1:11" ht="15" customHeight="1">
      <c r="A157" s="27">
        <v>44323</v>
      </c>
      <c r="B157" s="157" t="s">
        <v>1781</v>
      </c>
      <c r="C157" s="28" t="s">
        <v>1923</v>
      </c>
      <c r="D157" s="28" t="s">
        <v>1924</v>
      </c>
      <c r="E157" s="228" t="s">
        <v>1959</v>
      </c>
      <c r="F157" s="226"/>
      <c r="G157" s="188" t="s">
        <v>1978</v>
      </c>
      <c r="H157" s="229"/>
      <c r="I157" s="26">
        <f>49600000-1860000</f>
        <v>47740000</v>
      </c>
      <c r="J157" s="26">
        <v>47740000</v>
      </c>
      <c r="K157" s="100">
        <f t="shared" si="2"/>
        <v>0</v>
      </c>
    </row>
    <row r="158" spans="1:11" ht="15" customHeight="1">
      <c r="A158" s="27">
        <v>44326</v>
      </c>
      <c r="B158" s="157" t="s">
        <v>1946</v>
      </c>
      <c r="C158" s="28" t="s">
        <v>889</v>
      </c>
      <c r="D158" s="28" t="s">
        <v>1925</v>
      </c>
      <c r="E158" s="228" t="s">
        <v>1960</v>
      </c>
      <c r="F158" s="226"/>
      <c r="G158" s="188" t="s">
        <v>42</v>
      </c>
      <c r="H158" s="229"/>
      <c r="I158" s="26">
        <v>97634</v>
      </c>
      <c r="J158" s="26">
        <v>97634</v>
      </c>
      <c r="K158" s="100">
        <f t="shared" si="2"/>
        <v>0</v>
      </c>
    </row>
    <row r="159" spans="1:11" ht="15" customHeight="1">
      <c r="A159" s="27">
        <v>44326</v>
      </c>
      <c r="B159" s="157" t="s">
        <v>1947</v>
      </c>
      <c r="C159" s="28" t="s">
        <v>889</v>
      </c>
      <c r="D159" s="28" t="s">
        <v>1926</v>
      </c>
      <c r="E159" s="228" t="s">
        <v>1961</v>
      </c>
      <c r="F159" s="226"/>
      <c r="G159" s="188" t="s">
        <v>42</v>
      </c>
      <c r="H159" s="229"/>
      <c r="I159" s="26">
        <v>184018</v>
      </c>
      <c r="J159" s="26">
        <v>184018</v>
      </c>
      <c r="K159" s="100">
        <f t="shared" si="2"/>
        <v>0</v>
      </c>
    </row>
    <row r="160" spans="1:11" ht="15" customHeight="1">
      <c r="A160" s="27">
        <v>44326</v>
      </c>
      <c r="B160" s="157" t="s">
        <v>1948</v>
      </c>
      <c r="C160" s="28" t="s">
        <v>889</v>
      </c>
      <c r="D160" s="28" t="s">
        <v>1927</v>
      </c>
      <c r="E160" s="228" t="s">
        <v>1962</v>
      </c>
      <c r="F160" s="226"/>
      <c r="G160" s="188" t="s">
        <v>294</v>
      </c>
      <c r="H160" s="229"/>
      <c r="I160" s="26">
        <v>212630</v>
      </c>
      <c r="J160" s="26">
        <v>212630</v>
      </c>
      <c r="K160" s="100">
        <f t="shared" si="2"/>
        <v>0</v>
      </c>
    </row>
    <row r="161" spans="1:11" ht="15" customHeight="1">
      <c r="A161" s="27">
        <v>44326</v>
      </c>
      <c r="B161" s="157" t="s">
        <v>1949</v>
      </c>
      <c r="C161" s="28" t="s">
        <v>889</v>
      </c>
      <c r="D161" s="28" t="s">
        <v>1928</v>
      </c>
      <c r="E161" s="228" t="s">
        <v>1963</v>
      </c>
      <c r="F161" s="226"/>
      <c r="G161" s="188" t="s">
        <v>43</v>
      </c>
      <c r="H161" s="229"/>
      <c r="I161" s="26">
        <v>50810</v>
      </c>
      <c r="J161" s="26">
        <v>50810</v>
      </c>
      <c r="K161" s="100">
        <f t="shared" si="2"/>
        <v>0</v>
      </c>
    </row>
    <row r="162" spans="1:11" ht="15" customHeight="1">
      <c r="A162" s="27">
        <v>44326</v>
      </c>
      <c r="B162" s="157" t="s">
        <v>1950</v>
      </c>
      <c r="C162" s="28" t="s">
        <v>889</v>
      </c>
      <c r="D162" s="28" t="s">
        <v>1929</v>
      </c>
      <c r="E162" s="228" t="s">
        <v>1964</v>
      </c>
      <c r="F162" s="226"/>
      <c r="G162" s="188" t="s">
        <v>294</v>
      </c>
      <c r="H162" s="229"/>
      <c r="I162" s="26">
        <v>190140</v>
      </c>
      <c r="J162" s="26">
        <v>190140</v>
      </c>
      <c r="K162" s="100">
        <f t="shared" si="2"/>
        <v>0</v>
      </c>
    </row>
    <row r="163" spans="1:11" ht="15" customHeight="1">
      <c r="A163" s="27">
        <v>44326</v>
      </c>
      <c r="B163" s="157" t="s">
        <v>1951</v>
      </c>
      <c r="C163" s="28" t="s">
        <v>889</v>
      </c>
      <c r="D163" s="28" t="s">
        <v>1930</v>
      </c>
      <c r="E163" s="228" t="s">
        <v>1965</v>
      </c>
      <c r="F163" s="226"/>
      <c r="G163" s="188" t="s">
        <v>43</v>
      </c>
      <c r="H163" s="229"/>
      <c r="I163" s="26">
        <v>413490</v>
      </c>
      <c r="J163" s="26">
        <v>413490</v>
      </c>
      <c r="K163" s="100">
        <f t="shared" si="2"/>
        <v>0</v>
      </c>
    </row>
    <row r="164" spans="1:11" ht="15" customHeight="1">
      <c r="A164" s="27">
        <v>44327</v>
      </c>
      <c r="B164" s="157" t="s">
        <v>1554</v>
      </c>
      <c r="C164" s="28" t="s">
        <v>1397</v>
      </c>
      <c r="D164" s="28" t="s">
        <v>1931</v>
      </c>
      <c r="E164" s="228" t="s">
        <v>1966</v>
      </c>
      <c r="F164" s="226"/>
      <c r="G164" s="188" t="s">
        <v>1979</v>
      </c>
      <c r="H164" s="229"/>
      <c r="I164" s="26">
        <v>864300000</v>
      </c>
      <c r="J164" s="26">
        <v>424592172</v>
      </c>
      <c r="K164" s="100">
        <f t="shared" si="2"/>
        <v>439707828</v>
      </c>
    </row>
    <row r="165" spans="1:11" ht="15" customHeight="1">
      <c r="A165" s="27">
        <v>44328</v>
      </c>
      <c r="B165" s="157" t="s">
        <v>1952</v>
      </c>
      <c r="C165" s="28" t="s">
        <v>889</v>
      </c>
      <c r="D165" s="28" t="s">
        <v>1932</v>
      </c>
      <c r="E165" s="228" t="s">
        <v>1967</v>
      </c>
      <c r="F165" s="226"/>
      <c r="G165" s="188" t="s">
        <v>42</v>
      </c>
      <c r="H165" s="229"/>
      <c r="I165" s="26">
        <v>22901</v>
      </c>
      <c r="J165" s="26">
        <v>22901</v>
      </c>
      <c r="K165" s="100">
        <f t="shared" si="2"/>
        <v>0</v>
      </c>
    </row>
    <row r="166" spans="1:11" ht="15" customHeight="1">
      <c r="A166" s="27">
        <v>44329</v>
      </c>
      <c r="B166" s="157" t="s">
        <v>1548</v>
      </c>
      <c r="C166" s="28" t="s">
        <v>1933</v>
      </c>
      <c r="D166" s="28" t="s">
        <v>1934</v>
      </c>
      <c r="E166" s="228" t="s">
        <v>1775</v>
      </c>
      <c r="F166" s="226"/>
      <c r="G166" s="188" t="s">
        <v>1980</v>
      </c>
      <c r="H166" s="229"/>
      <c r="I166" s="26">
        <v>49833333</v>
      </c>
      <c r="J166" s="26">
        <v>42900000</v>
      </c>
      <c r="K166" s="100">
        <f t="shared" si="2"/>
        <v>6933333</v>
      </c>
    </row>
    <row r="167" spans="1:11" ht="15" customHeight="1">
      <c r="A167" s="27">
        <v>44329</v>
      </c>
      <c r="B167" s="157" t="s">
        <v>1780</v>
      </c>
      <c r="C167" s="28" t="s">
        <v>1935</v>
      </c>
      <c r="D167" s="28" t="s">
        <v>1936</v>
      </c>
      <c r="E167" s="228" t="s">
        <v>1968</v>
      </c>
      <c r="F167" s="226"/>
      <c r="G167" s="188" t="s">
        <v>1981</v>
      </c>
      <c r="H167" s="229"/>
      <c r="I167" s="26">
        <v>33434333</v>
      </c>
      <c r="J167" s="26">
        <v>33143600</v>
      </c>
      <c r="K167" s="100">
        <f t="shared" si="2"/>
        <v>290733</v>
      </c>
    </row>
    <row r="168" spans="1:11" ht="15" customHeight="1">
      <c r="A168" s="27">
        <v>44334</v>
      </c>
      <c r="B168" s="157" t="s">
        <v>1953</v>
      </c>
      <c r="C168" s="28" t="s">
        <v>889</v>
      </c>
      <c r="D168" s="28" t="s">
        <v>1937</v>
      </c>
      <c r="E168" s="228" t="s">
        <v>1969</v>
      </c>
      <c r="F168" s="226"/>
      <c r="G168" s="188" t="s">
        <v>294</v>
      </c>
      <c r="H168" s="229"/>
      <c r="I168" s="26">
        <v>187860</v>
      </c>
      <c r="J168" s="26">
        <v>187860</v>
      </c>
      <c r="K168" s="100">
        <f t="shared" si="2"/>
        <v>0</v>
      </c>
    </row>
    <row r="169" spans="1:11" ht="15" customHeight="1">
      <c r="A169" s="27">
        <v>44334</v>
      </c>
      <c r="B169" s="157" t="s">
        <v>1954</v>
      </c>
      <c r="C169" s="28" t="s">
        <v>889</v>
      </c>
      <c r="D169" s="28" t="s">
        <v>1938</v>
      </c>
      <c r="E169" s="228" t="s">
        <v>1970</v>
      </c>
      <c r="F169" s="226"/>
      <c r="G169" s="188" t="s">
        <v>43</v>
      </c>
      <c r="H169" s="229"/>
      <c r="I169" s="26">
        <v>35550</v>
      </c>
      <c r="J169" s="26">
        <v>35550</v>
      </c>
      <c r="K169" s="100">
        <f t="shared" si="2"/>
        <v>0</v>
      </c>
    </row>
    <row r="170" spans="1:11" ht="15" customHeight="1">
      <c r="A170" s="27">
        <v>44334</v>
      </c>
      <c r="B170" s="157" t="s">
        <v>1955</v>
      </c>
      <c r="C170" s="28" t="s">
        <v>889</v>
      </c>
      <c r="D170" s="28" t="s">
        <v>1939</v>
      </c>
      <c r="E170" s="228" t="s">
        <v>1971</v>
      </c>
      <c r="F170" s="226"/>
      <c r="G170" s="188" t="s">
        <v>42</v>
      </c>
      <c r="H170" s="229"/>
      <c r="I170" s="26">
        <v>229002</v>
      </c>
      <c r="J170" s="26">
        <v>229002</v>
      </c>
      <c r="K170" s="100">
        <f t="shared" si="2"/>
        <v>0</v>
      </c>
    </row>
    <row r="171" spans="1:11" ht="15" customHeight="1">
      <c r="A171" s="27">
        <v>44334</v>
      </c>
      <c r="B171" s="157" t="s">
        <v>1722</v>
      </c>
      <c r="C171" s="28" t="s">
        <v>1940</v>
      </c>
      <c r="D171" s="28" t="s">
        <v>1940</v>
      </c>
      <c r="E171" s="228" t="s">
        <v>1972</v>
      </c>
      <c r="F171" s="226"/>
      <c r="G171" s="188" t="s">
        <v>1982</v>
      </c>
      <c r="H171" s="229"/>
      <c r="I171" s="26">
        <v>44236800</v>
      </c>
      <c r="J171" s="26">
        <v>41103360</v>
      </c>
      <c r="K171" s="100">
        <f t="shared" si="2"/>
        <v>3133440</v>
      </c>
    </row>
    <row r="172" spans="1:11" ht="15" customHeight="1">
      <c r="A172" s="27">
        <v>44344</v>
      </c>
      <c r="B172" s="157" t="s">
        <v>1956</v>
      </c>
      <c r="C172" s="28" t="s">
        <v>1941</v>
      </c>
      <c r="D172" s="28" t="s">
        <v>1942</v>
      </c>
      <c r="E172" s="228" t="s">
        <v>1973</v>
      </c>
      <c r="F172" s="226"/>
      <c r="G172" s="188" t="s">
        <v>1983</v>
      </c>
      <c r="H172" s="229"/>
      <c r="I172" s="26">
        <v>31689381</v>
      </c>
      <c r="J172" s="26">
        <v>30526468</v>
      </c>
      <c r="K172" s="100">
        <f t="shared" si="2"/>
        <v>1162913</v>
      </c>
    </row>
    <row r="173" spans="1:11" ht="15" customHeight="1">
      <c r="A173" s="27">
        <v>44347</v>
      </c>
      <c r="B173" s="157" t="s">
        <v>959</v>
      </c>
      <c r="C173" s="28" t="s">
        <v>1943</v>
      </c>
      <c r="D173" s="28" t="s">
        <v>1944</v>
      </c>
      <c r="E173" s="228" t="s">
        <v>1974</v>
      </c>
      <c r="F173" s="226"/>
      <c r="G173" s="188" t="s">
        <v>485</v>
      </c>
      <c r="H173" s="229"/>
      <c r="I173" s="26">
        <f>18520689-6</f>
        <v>18520683</v>
      </c>
      <c r="J173" s="26">
        <v>18520683</v>
      </c>
      <c r="K173" s="100">
        <f t="shared" si="2"/>
        <v>0</v>
      </c>
    </row>
    <row r="174" spans="1:11" ht="15" customHeight="1">
      <c r="A174" s="27">
        <v>44347</v>
      </c>
      <c r="B174" s="157" t="s">
        <v>1895</v>
      </c>
      <c r="C174" s="28" t="s">
        <v>1851</v>
      </c>
      <c r="D174" s="28" t="s">
        <v>1945</v>
      </c>
      <c r="E174" s="228" t="s">
        <v>1975</v>
      </c>
      <c r="F174" s="226"/>
      <c r="G174" s="188" t="s">
        <v>1984</v>
      </c>
      <c r="H174" s="229"/>
      <c r="I174" s="26">
        <v>70000000</v>
      </c>
      <c r="J174" s="26">
        <v>25503227</v>
      </c>
      <c r="K174" s="100">
        <f t="shared" si="2"/>
        <v>44496773</v>
      </c>
    </row>
    <row r="175" spans="1:11" ht="15" customHeight="1">
      <c r="A175" s="27">
        <v>44349</v>
      </c>
      <c r="B175" s="157" t="s">
        <v>1802</v>
      </c>
      <c r="C175" s="28" t="s">
        <v>2210</v>
      </c>
      <c r="D175" s="28" t="s">
        <v>2211</v>
      </c>
      <c r="E175" s="228" t="s">
        <v>2253</v>
      </c>
      <c r="F175" s="226"/>
      <c r="G175" s="188" t="s">
        <v>2235</v>
      </c>
      <c r="H175" s="229"/>
      <c r="I175" s="26">
        <v>28008500</v>
      </c>
      <c r="J175" s="26">
        <v>28008500</v>
      </c>
      <c r="K175" s="100">
        <f t="shared" si="2"/>
        <v>0</v>
      </c>
    </row>
    <row r="176" spans="1:11" ht="15" customHeight="1">
      <c r="A176" s="27">
        <v>44350</v>
      </c>
      <c r="B176" s="157" t="s">
        <v>1801</v>
      </c>
      <c r="C176" s="28" t="s">
        <v>2212</v>
      </c>
      <c r="D176" s="28" t="s">
        <v>2213</v>
      </c>
      <c r="E176" s="228" t="s">
        <v>2254</v>
      </c>
      <c r="F176" s="226"/>
      <c r="G176" s="188" t="s">
        <v>2236</v>
      </c>
      <c r="H176" s="229"/>
      <c r="I176" s="26">
        <v>28008500</v>
      </c>
      <c r="J176" s="26">
        <v>28008500</v>
      </c>
      <c r="K176" s="100">
        <f t="shared" si="2"/>
        <v>0</v>
      </c>
    </row>
    <row r="177" spans="1:11" ht="15" customHeight="1">
      <c r="A177" s="27">
        <v>44350</v>
      </c>
      <c r="B177" s="157" t="s">
        <v>1799</v>
      </c>
      <c r="C177" s="28" t="s">
        <v>2214</v>
      </c>
      <c r="D177" s="28" t="s">
        <v>2215</v>
      </c>
      <c r="E177" s="228" t="s">
        <v>2255</v>
      </c>
      <c r="F177" s="226"/>
      <c r="G177" s="188" t="s">
        <v>2237</v>
      </c>
      <c r="H177" s="229"/>
      <c r="I177" s="26">
        <v>42000000</v>
      </c>
      <c r="J177" s="26">
        <v>41400000</v>
      </c>
      <c r="K177" s="100">
        <f t="shared" si="2"/>
        <v>600000</v>
      </c>
    </row>
    <row r="178" spans="1:11" ht="15" customHeight="1">
      <c r="A178" s="27">
        <v>44351</v>
      </c>
      <c r="B178" s="157" t="s">
        <v>2247</v>
      </c>
      <c r="C178" s="28" t="s">
        <v>889</v>
      </c>
      <c r="D178" s="28" t="s">
        <v>2212</v>
      </c>
      <c r="E178" s="228" t="s">
        <v>2256</v>
      </c>
      <c r="F178" s="226"/>
      <c r="G178" s="188" t="s">
        <v>294</v>
      </c>
      <c r="H178" s="229"/>
      <c r="I178" s="26">
        <v>405070</v>
      </c>
      <c r="J178" s="26">
        <v>405070</v>
      </c>
      <c r="K178" s="100">
        <f t="shared" si="2"/>
        <v>0</v>
      </c>
    </row>
    <row r="179" spans="1:11" ht="15" customHeight="1">
      <c r="A179" s="27">
        <v>44351</v>
      </c>
      <c r="B179" s="157" t="s">
        <v>2248</v>
      </c>
      <c r="C179" s="28" t="s">
        <v>889</v>
      </c>
      <c r="D179" s="28" t="s">
        <v>2216</v>
      </c>
      <c r="E179" s="228" t="s">
        <v>2257</v>
      </c>
      <c r="F179" s="226"/>
      <c r="G179" s="188" t="s">
        <v>43</v>
      </c>
      <c r="H179" s="229"/>
      <c r="I179" s="26">
        <v>469790</v>
      </c>
      <c r="J179" s="26">
        <v>469790</v>
      </c>
      <c r="K179" s="100">
        <f t="shared" si="2"/>
        <v>0</v>
      </c>
    </row>
    <row r="180" spans="1:11" ht="15" customHeight="1">
      <c r="A180" s="27">
        <v>44356</v>
      </c>
      <c r="B180" s="157" t="s">
        <v>2249</v>
      </c>
      <c r="C180" s="28" t="s">
        <v>889</v>
      </c>
      <c r="D180" s="28" t="s">
        <v>2217</v>
      </c>
      <c r="E180" s="228" t="s">
        <v>2258</v>
      </c>
      <c r="F180" s="226"/>
      <c r="G180" s="188" t="s">
        <v>294</v>
      </c>
      <c r="H180" s="229"/>
      <c r="I180" s="26">
        <v>211990</v>
      </c>
      <c r="J180" s="26">
        <v>211990</v>
      </c>
      <c r="K180" s="100">
        <f t="shared" si="2"/>
        <v>0</v>
      </c>
    </row>
    <row r="181" spans="1:11" ht="15" customHeight="1">
      <c r="A181" s="27">
        <v>44356</v>
      </c>
      <c r="B181" s="157" t="s">
        <v>2249</v>
      </c>
      <c r="C181" s="28" t="s">
        <v>889</v>
      </c>
      <c r="D181" s="28" t="s">
        <v>2218</v>
      </c>
      <c r="E181" s="228" t="s">
        <v>2259</v>
      </c>
      <c r="F181" s="226"/>
      <c r="G181" s="188" t="s">
        <v>43</v>
      </c>
      <c r="H181" s="229"/>
      <c r="I181" s="26">
        <v>50740</v>
      </c>
      <c r="J181" s="26">
        <v>50740</v>
      </c>
      <c r="K181" s="100">
        <f t="shared" si="2"/>
        <v>0</v>
      </c>
    </row>
    <row r="182" spans="1:11" ht="15" customHeight="1">
      <c r="A182" s="27">
        <v>44365</v>
      </c>
      <c r="B182" s="157" t="s">
        <v>1734</v>
      </c>
      <c r="C182" s="28" t="s">
        <v>2219</v>
      </c>
      <c r="D182" s="28" t="s">
        <v>2220</v>
      </c>
      <c r="E182" s="228" t="s">
        <v>2260</v>
      </c>
      <c r="F182" s="226"/>
      <c r="G182" s="188" t="s">
        <v>2238</v>
      </c>
      <c r="H182" s="229"/>
      <c r="I182" s="26">
        <v>12600000</v>
      </c>
      <c r="J182" s="26">
        <v>12600000</v>
      </c>
      <c r="K182" s="100">
        <f t="shared" si="2"/>
        <v>0</v>
      </c>
    </row>
    <row r="183" spans="1:11" ht="15" customHeight="1">
      <c r="A183" s="27">
        <v>44365</v>
      </c>
      <c r="B183" s="157" t="s">
        <v>1904</v>
      </c>
      <c r="C183" s="28" t="s">
        <v>1847</v>
      </c>
      <c r="D183" s="28" t="s">
        <v>2221</v>
      </c>
      <c r="E183" s="228" t="s">
        <v>2261</v>
      </c>
      <c r="F183" s="226"/>
      <c r="G183" s="188" t="s">
        <v>2239</v>
      </c>
      <c r="H183" s="229"/>
      <c r="I183" s="26">
        <v>440550000</v>
      </c>
      <c r="J183" s="26">
        <v>171139938</v>
      </c>
      <c r="K183" s="100">
        <f t="shared" si="2"/>
        <v>269410062</v>
      </c>
    </row>
    <row r="184" spans="1:11" ht="15" customHeight="1">
      <c r="A184" s="27">
        <v>44368</v>
      </c>
      <c r="B184" s="157" t="s">
        <v>1735</v>
      </c>
      <c r="C184" s="28" t="s">
        <v>2222</v>
      </c>
      <c r="D184" s="28" t="s">
        <v>2223</v>
      </c>
      <c r="E184" s="228" t="s">
        <v>2260</v>
      </c>
      <c r="F184" s="226"/>
      <c r="G184" s="188" t="s">
        <v>2240</v>
      </c>
      <c r="H184" s="229"/>
      <c r="I184" s="26">
        <v>12600000</v>
      </c>
      <c r="J184" s="26">
        <v>12600000</v>
      </c>
      <c r="K184" s="100">
        <f t="shared" si="2"/>
        <v>0</v>
      </c>
    </row>
    <row r="185" spans="1:11" ht="15" customHeight="1">
      <c r="A185" s="27">
        <v>44368</v>
      </c>
      <c r="B185" s="157" t="s">
        <v>2250</v>
      </c>
      <c r="C185" s="28" t="s">
        <v>889</v>
      </c>
      <c r="D185" s="28" t="s">
        <v>2224</v>
      </c>
      <c r="E185" s="228" t="s">
        <v>2262</v>
      </c>
      <c r="F185" s="226"/>
      <c r="G185" s="188" t="s">
        <v>294</v>
      </c>
      <c r="H185" s="229"/>
      <c r="I185" s="26">
        <v>198010</v>
      </c>
      <c r="J185" s="26">
        <v>198010</v>
      </c>
      <c r="K185" s="100">
        <f t="shared" si="2"/>
        <v>0</v>
      </c>
    </row>
    <row r="186" spans="1:11" ht="15" customHeight="1">
      <c r="A186" s="27">
        <v>44368</v>
      </c>
      <c r="B186" s="157" t="s">
        <v>2250</v>
      </c>
      <c r="C186" s="28" t="s">
        <v>889</v>
      </c>
      <c r="D186" s="28" t="s">
        <v>2225</v>
      </c>
      <c r="E186" s="228" t="s">
        <v>2263</v>
      </c>
      <c r="F186" s="226"/>
      <c r="G186" s="188" t="s">
        <v>43</v>
      </c>
      <c r="H186" s="229"/>
      <c r="I186" s="26">
        <v>34660</v>
      </c>
      <c r="J186" s="26">
        <v>34660</v>
      </c>
      <c r="K186" s="100">
        <f t="shared" si="2"/>
        <v>0</v>
      </c>
    </row>
    <row r="187" spans="1:11" ht="15" customHeight="1">
      <c r="A187" s="27">
        <v>44370</v>
      </c>
      <c r="B187" s="157" t="s">
        <v>1808</v>
      </c>
      <c r="C187" s="28" t="s">
        <v>2226</v>
      </c>
      <c r="D187" s="28" t="s">
        <v>2227</v>
      </c>
      <c r="E187" s="228" t="s">
        <v>2264</v>
      </c>
      <c r="F187" s="226"/>
      <c r="G187" s="188" t="s">
        <v>2241</v>
      </c>
      <c r="H187" s="229"/>
      <c r="I187" s="26">
        <v>15600000</v>
      </c>
      <c r="J187" s="26">
        <v>15600000</v>
      </c>
      <c r="K187" s="100">
        <f t="shared" si="2"/>
        <v>0</v>
      </c>
    </row>
    <row r="188" spans="1:11" ht="15" customHeight="1">
      <c r="A188" s="27">
        <v>44372</v>
      </c>
      <c r="B188" s="157" t="s">
        <v>2164</v>
      </c>
      <c r="C188" s="28" t="s">
        <v>2225</v>
      </c>
      <c r="D188" s="28" t="s">
        <v>2228</v>
      </c>
      <c r="E188" s="228" t="s">
        <v>2265</v>
      </c>
      <c r="F188" s="226"/>
      <c r="G188" s="188" t="s">
        <v>2242</v>
      </c>
      <c r="H188" s="229"/>
      <c r="I188" s="26">
        <v>15600000</v>
      </c>
      <c r="J188" s="26">
        <v>15600000</v>
      </c>
      <c r="K188" s="100">
        <f t="shared" si="2"/>
        <v>0</v>
      </c>
    </row>
    <row r="189" spans="1:11" ht="15" customHeight="1">
      <c r="A189" s="27">
        <v>44372</v>
      </c>
      <c r="B189" s="157" t="s">
        <v>2251</v>
      </c>
      <c r="C189" s="28" t="s">
        <v>2229</v>
      </c>
      <c r="D189" s="28" t="s">
        <v>2230</v>
      </c>
      <c r="E189" s="228" t="s">
        <v>2266</v>
      </c>
      <c r="F189" s="226"/>
      <c r="G189" s="188" t="s">
        <v>2243</v>
      </c>
      <c r="H189" s="229"/>
      <c r="I189" s="26">
        <v>27146700</v>
      </c>
      <c r="J189" s="26">
        <v>26715800</v>
      </c>
      <c r="K189" s="100">
        <f t="shared" si="2"/>
        <v>430900</v>
      </c>
    </row>
    <row r="190" spans="1:11" ht="15" customHeight="1">
      <c r="A190" s="27">
        <v>44372</v>
      </c>
      <c r="B190" s="157" t="s">
        <v>2252</v>
      </c>
      <c r="C190" s="28" t="s">
        <v>2231</v>
      </c>
      <c r="D190" s="28" t="s">
        <v>2232</v>
      </c>
      <c r="E190" s="228" t="s">
        <v>2267</v>
      </c>
      <c r="F190" s="226"/>
      <c r="G190" s="188" t="s">
        <v>2244</v>
      </c>
      <c r="H190" s="229"/>
      <c r="I190" s="26">
        <v>621867</v>
      </c>
      <c r="J190" s="26">
        <v>621867</v>
      </c>
      <c r="K190" s="100">
        <f t="shared" si="2"/>
        <v>0</v>
      </c>
    </row>
    <row r="191" spans="1:11" ht="15" customHeight="1">
      <c r="A191" s="27">
        <v>44375</v>
      </c>
      <c r="B191" s="157" t="s">
        <v>2089</v>
      </c>
      <c r="C191" s="28" t="s">
        <v>2233</v>
      </c>
      <c r="D191" s="28" t="s">
        <v>2234</v>
      </c>
      <c r="E191" s="228" t="s">
        <v>2268</v>
      </c>
      <c r="F191" s="226"/>
      <c r="G191" s="188" t="s">
        <v>2245</v>
      </c>
      <c r="H191" s="229"/>
      <c r="I191" s="26">
        <v>27146700</v>
      </c>
      <c r="J191" s="26">
        <v>26371080</v>
      </c>
      <c r="K191" s="100">
        <f t="shared" si="2"/>
        <v>775620</v>
      </c>
    </row>
    <row r="192" spans="1:11" ht="15" customHeight="1">
      <c r="A192" s="27">
        <v>44375</v>
      </c>
      <c r="B192" s="157" t="s">
        <v>2169</v>
      </c>
      <c r="C192" s="28" t="s">
        <v>2234</v>
      </c>
      <c r="D192" s="28" t="s">
        <v>2231</v>
      </c>
      <c r="E192" s="228" t="s">
        <v>2269</v>
      </c>
      <c r="F192" s="226"/>
      <c r="G192" s="188" t="s">
        <v>2246</v>
      </c>
      <c r="H192" s="229"/>
      <c r="I192" s="26">
        <v>46500000</v>
      </c>
      <c r="J192" s="26">
        <v>45750000</v>
      </c>
      <c r="K192" s="100">
        <f t="shared" si="2"/>
        <v>750000</v>
      </c>
    </row>
    <row r="193" spans="1:11" ht="15" customHeight="1">
      <c r="A193" s="27">
        <v>44379</v>
      </c>
      <c r="B193" s="157" t="s">
        <v>2445</v>
      </c>
      <c r="C193" s="28" t="s">
        <v>2347</v>
      </c>
      <c r="D193" s="28" t="s">
        <v>2398</v>
      </c>
      <c r="E193" s="228" t="s">
        <v>2461</v>
      </c>
      <c r="F193" s="226"/>
      <c r="G193" s="188" t="s">
        <v>1165</v>
      </c>
      <c r="H193" s="229"/>
      <c r="I193" s="26">
        <v>2795000</v>
      </c>
      <c r="J193" s="26">
        <v>2795000</v>
      </c>
      <c r="K193" s="100">
        <f t="shared" si="2"/>
        <v>0</v>
      </c>
    </row>
    <row r="194" spans="1:11" ht="15" customHeight="1">
      <c r="A194" s="27">
        <v>44379</v>
      </c>
      <c r="B194" s="157" t="s">
        <v>2446</v>
      </c>
      <c r="C194" s="28" t="s">
        <v>889</v>
      </c>
      <c r="D194" s="28" t="s">
        <v>2399</v>
      </c>
      <c r="E194" s="228" t="s">
        <v>2462</v>
      </c>
      <c r="F194" s="226"/>
      <c r="G194" s="188" t="s">
        <v>294</v>
      </c>
      <c r="H194" s="229"/>
      <c r="I194" s="26">
        <v>337010</v>
      </c>
      <c r="J194" s="26">
        <v>337010</v>
      </c>
      <c r="K194" s="100">
        <f t="shared" si="2"/>
        <v>0</v>
      </c>
    </row>
    <row r="195" spans="1:11" ht="15" customHeight="1">
      <c r="A195" s="27">
        <v>44379</v>
      </c>
      <c r="B195" s="157" t="s">
        <v>2447</v>
      </c>
      <c r="C195" s="28" t="s">
        <v>889</v>
      </c>
      <c r="D195" s="28" t="s">
        <v>2400</v>
      </c>
      <c r="E195" s="228" t="s">
        <v>2463</v>
      </c>
      <c r="F195" s="226"/>
      <c r="G195" s="188" t="s">
        <v>43</v>
      </c>
      <c r="H195" s="229"/>
      <c r="I195" s="26">
        <v>50810</v>
      </c>
      <c r="J195" s="26">
        <v>50810</v>
      </c>
      <c r="K195" s="100">
        <f t="shared" si="2"/>
        <v>0</v>
      </c>
    </row>
    <row r="196" spans="1:11" ht="15" customHeight="1">
      <c r="A196" s="27">
        <v>44379</v>
      </c>
      <c r="B196" s="157" t="s">
        <v>2448</v>
      </c>
      <c r="C196" s="28" t="s">
        <v>889</v>
      </c>
      <c r="D196" s="28" t="s">
        <v>2401</v>
      </c>
      <c r="E196" s="228" t="s">
        <v>2464</v>
      </c>
      <c r="F196" s="226"/>
      <c r="G196" s="188" t="s">
        <v>42</v>
      </c>
      <c r="H196" s="229"/>
      <c r="I196" s="26">
        <v>89874</v>
      </c>
      <c r="J196" s="26">
        <v>89874</v>
      </c>
      <c r="K196" s="100">
        <f t="shared" si="2"/>
        <v>0</v>
      </c>
    </row>
    <row r="197" spans="1:11" ht="15" customHeight="1">
      <c r="A197" s="27">
        <v>44379</v>
      </c>
      <c r="B197" s="157" t="s">
        <v>2449</v>
      </c>
      <c r="C197" s="28" t="s">
        <v>889</v>
      </c>
      <c r="D197" s="28" t="s">
        <v>2402</v>
      </c>
      <c r="E197" s="228" t="s">
        <v>2465</v>
      </c>
      <c r="F197" s="226"/>
      <c r="G197" s="188" t="s">
        <v>294</v>
      </c>
      <c r="H197" s="229"/>
      <c r="I197" s="26">
        <v>254430</v>
      </c>
      <c r="J197" s="26">
        <v>254430</v>
      </c>
      <c r="K197" s="100">
        <f t="shared" si="2"/>
        <v>0</v>
      </c>
    </row>
    <row r="198" spans="1:11" ht="15" customHeight="1">
      <c r="A198" s="27">
        <v>44379</v>
      </c>
      <c r="B198" s="157" t="s">
        <v>2450</v>
      </c>
      <c r="C198" s="28" t="s">
        <v>889</v>
      </c>
      <c r="D198" s="28" t="s">
        <v>2403</v>
      </c>
      <c r="E198" s="228" t="s">
        <v>2466</v>
      </c>
      <c r="F198" s="226"/>
      <c r="G198" s="188" t="s">
        <v>43</v>
      </c>
      <c r="H198" s="229"/>
      <c r="I198" s="26">
        <v>443650</v>
      </c>
      <c r="J198" s="26">
        <v>443650</v>
      </c>
      <c r="K198" s="100">
        <f t="shared" si="2"/>
        <v>0</v>
      </c>
    </row>
    <row r="199" spans="1:11" ht="15" customHeight="1">
      <c r="A199" s="27">
        <v>44379</v>
      </c>
      <c r="B199" s="157" t="s">
        <v>2451</v>
      </c>
      <c r="C199" s="28" t="s">
        <v>889</v>
      </c>
      <c r="D199" s="28" t="s">
        <v>2404</v>
      </c>
      <c r="E199" s="228" t="s">
        <v>2467</v>
      </c>
      <c r="F199" s="226"/>
      <c r="G199" s="188" t="s">
        <v>42</v>
      </c>
      <c r="H199" s="229"/>
      <c r="I199" s="26">
        <v>155289</v>
      </c>
      <c r="J199" s="26">
        <v>155289</v>
      </c>
      <c r="K199" s="100">
        <f t="shared" si="2"/>
        <v>0</v>
      </c>
    </row>
    <row r="200" spans="1:11" ht="15" customHeight="1">
      <c r="A200" s="27">
        <v>44383</v>
      </c>
      <c r="B200" s="157" t="s">
        <v>1986</v>
      </c>
      <c r="C200" s="28" t="s">
        <v>2405</v>
      </c>
      <c r="D200" s="28" t="s">
        <v>2406</v>
      </c>
      <c r="E200" s="228" t="s">
        <v>2468</v>
      </c>
      <c r="F200" s="226"/>
      <c r="G200" s="188" t="s">
        <v>2440</v>
      </c>
      <c r="H200" s="229"/>
      <c r="I200" s="26">
        <f>10800000-300000</f>
        <v>10500000</v>
      </c>
      <c r="J200" s="26">
        <v>10500000</v>
      </c>
      <c r="K200" s="100">
        <f t="shared" si="2"/>
        <v>0</v>
      </c>
    </row>
    <row r="201" spans="1:11" ht="15" customHeight="1">
      <c r="A201" s="27">
        <v>44384</v>
      </c>
      <c r="B201" s="157" t="s">
        <v>2001</v>
      </c>
      <c r="C201" s="28" t="s">
        <v>2407</v>
      </c>
      <c r="D201" s="28" t="s">
        <v>2408</v>
      </c>
      <c r="E201" s="228" t="s">
        <v>2469</v>
      </c>
      <c r="F201" s="226"/>
      <c r="G201" s="188" t="s">
        <v>2441</v>
      </c>
      <c r="H201" s="229"/>
      <c r="I201" s="26">
        <f>10800000-420000</f>
        <v>10380000</v>
      </c>
      <c r="J201" s="26">
        <v>10380000</v>
      </c>
      <c r="K201" s="100">
        <f t="shared" si="2"/>
        <v>0</v>
      </c>
    </row>
    <row r="202" spans="1:11" ht="15" customHeight="1">
      <c r="A202" s="27">
        <v>44389</v>
      </c>
      <c r="B202" s="157" t="s">
        <v>2171</v>
      </c>
      <c r="C202" s="28" t="s">
        <v>2409</v>
      </c>
      <c r="D202" s="28" t="s">
        <v>2410</v>
      </c>
      <c r="E202" s="228" t="s">
        <v>2468</v>
      </c>
      <c r="F202" s="226"/>
      <c r="G202" s="188" t="s">
        <v>2442</v>
      </c>
      <c r="H202" s="229"/>
      <c r="I202" s="26">
        <f>10500000-360000</f>
        <v>10140000</v>
      </c>
      <c r="J202" s="26">
        <v>10140000</v>
      </c>
      <c r="K202" s="100">
        <f t="shared" si="2"/>
        <v>0</v>
      </c>
    </row>
    <row r="203" spans="1:11" ht="15" customHeight="1">
      <c r="A203" s="27">
        <v>44390</v>
      </c>
      <c r="B203" s="157" t="s">
        <v>2452</v>
      </c>
      <c r="C203" s="28" t="s">
        <v>889</v>
      </c>
      <c r="D203" s="28" t="s">
        <v>2411</v>
      </c>
      <c r="E203" s="228" t="s">
        <v>2470</v>
      </c>
      <c r="F203" s="226"/>
      <c r="G203" s="188" t="s">
        <v>294</v>
      </c>
      <c r="H203" s="229"/>
      <c r="I203" s="26">
        <v>216730</v>
      </c>
      <c r="J203" s="26">
        <v>216730</v>
      </c>
      <c r="K203" s="100">
        <f t="shared" si="2"/>
        <v>0</v>
      </c>
    </row>
    <row r="204" spans="1:11" ht="15" customHeight="1">
      <c r="A204" s="27">
        <v>44390</v>
      </c>
      <c r="B204" s="157" t="s">
        <v>2453</v>
      </c>
      <c r="C204" s="28" t="s">
        <v>889</v>
      </c>
      <c r="D204" s="28" t="s">
        <v>2412</v>
      </c>
      <c r="E204" s="228" t="s">
        <v>2471</v>
      </c>
      <c r="F204" s="226"/>
      <c r="G204" s="188" t="s">
        <v>43</v>
      </c>
      <c r="H204" s="229"/>
      <c r="I204" s="26">
        <v>35410</v>
      </c>
      <c r="J204" s="26">
        <v>35410</v>
      </c>
      <c r="K204" s="100">
        <f t="shared" si="2"/>
        <v>0</v>
      </c>
    </row>
    <row r="205" spans="1:11" ht="15" customHeight="1">
      <c r="A205" s="27">
        <v>44391</v>
      </c>
      <c r="B205" s="157" t="s">
        <v>2454</v>
      </c>
      <c r="C205" s="28" t="s">
        <v>889</v>
      </c>
      <c r="D205" s="28" t="s">
        <v>2413</v>
      </c>
      <c r="E205" s="228" t="s">
        <v>2472</v>
      </c>
      <c r="F205" s="226"/>
      <c r="G205" s="188" t="s">
        <v>42</v>
      </c>
      <c r="H205" s="229"/>
      <c r="I205" s="26">
        <v>21201</v>
      </c>
      <c r="J205" s="26">
        <v>21201</v>
      </c>
      <c r="K205" s="100">
        <f t="shared" si="2"/>
        <v>0</v>
      </c>
    </row>
    <row r="206" spans="1:11" ht="15" customHeight="1">
      <c r="A206" s="27">
        <v>44398</v>
      </c>
      <c r="B206" s="157" t="s">
        <v>2177</v>
      </c>
      <c r="C206" s="28" t="s">
        <v>2414</v>
      </c>
      <c r="D206" s="28" t="s">
        <v>2415</v>
      </c>
      <c r="E206" s="228" t="s">
        <v>2473</v>
      </c>
      <c r="F206" s="226"/>
      <c r="G206" s="188" t="s">
        <v>207</v>
      </c>
      <c r="H206" s="229"/>
      <c r="I206" s="26">
        <v>30409500</v>
      </c>
      <c r="J206" s="26">
        <v>29119400</v>
      </c>
      <c r="K206" s="100">
        <f t="shared" si="2"/>
        <v>1290100</v>
      </c>
    </row>
    <row r="207" spans="1:11" ht="15" customHeight="1">
      <c r="A207" s="27">
        <v>44398</v>
      </c>
      <c r="B207" s="157" t="s">
        <v>2112</v>
      </c>
      <c r="C207" s="28" t="s">
        <v>2416</v>
      </c>
      <c r="D207" s="28" t="s">
        <v>2417</v>
      </c>
      <c r="E207" s="228" t="s">
        <v>2474</v>
      </c>
      <c r="F207" s="226"/>
      <c r="G207" s="188" t="s">
        <v>114</v>
      </c>
      <c r="H207" s="229"/>
      <c r="I207" s="26">
        <v>36041500</v>
      </c>
      <c r="J207" s="26">
        <v>34949333</v>
      </c>
      <c r="K207" s="100">
        <f t="shared" si="2"/>
        <v>1092167</v>
      </c>
    </row>
    <row r="208" spans="1:11" ht="15" customHeight="1">
      <c r="A208" s="27">
        <v>44399</v>
      </c>
      <c r="B208" s="157" t="s">
        <v>2125</v>
      </c>
      <c r="C208" s="28" t="s">
        <v>2418</v>
      </c>
      <c r="D208" s="28" t="s">
        <v>2419</v>
      </c>
      <c r="E208" s="228" t="s">
        <v>1464</v>
      </c>
      <c r="F208" s="226"/>
      <c r="G208" s="188" t="s">
        <v>408</v>
      </c>
      <c r="H208" s="229"/>
      <c r="I208" s="26">
        <v>27556000</v>
      </c>
      <c r="J208" s="26">
        <v>26394000</v>
      </c>
      <c r="K208" s="100">
        <f t="shared" si="2"/>
        <v>1162000</v>
      </c>
    </row>
    <row r="209" spans="1:11" ht="15" customHeight="1">
      <c r="A209" s="27">
        <v>44400</v>
      </c>
      <c r="B209" s="157" t="s">
        <v>1702</v>
      </c>
      <c r="C209" s="28" t="s">
        <v>2420</v>
      </c>
      <c r="D209" s="28" t="s">
        <v>2421</v>
      </c>
      <c r="E209" s="228" t="s">
        <v>2475</v>
      </c>
      <c r="F209" s="226"/>
      <c r="G209" s="188" t="s">
        <v>312</v>
      </c>
      <c r="H209" s="229"/>
      <c r="I209" s="26">
        <f>22794240-143360</f>
        <v>22650880</v>
      </c>
      <c r="J209" s="26">
        <v>22650880</v>
      </c>
      <c r="K209" s="100">
        <f t="shared" si="2"/>
        <v>0</v>
      </c>
    </row>
    <row r="210" spans="1:11" ht="15" customHeight="1">
      <c r="A210" s="27">
        <v>44400</v>
      </c>
      <c r="B210" s="157" t="s">
        <v>2124</v>
      </c>
      <c r="C210" s="28" t="s">
        <v>2422</v>
      </c>
      <c r="D210" s="28" t="s">
        <v>2423</v>
      </c>
      <c r="E210" s="228" t="s">
        <v>2476</v>
      </c>
      <c r="F210" s="226"/>
      <c r="G210" s="188" t="s">
        <v>106</v>
      </c>
      <c r="H210" s="229"/>
      <c r="I210" s="26">
        <v>35386200</v>
      </c>
      <c r="J210" s="26">
        <v>33857167</v>
      </c>
      <c r="K210" s="100">
        <f t="shared" si="2"/>
        <v>1529033</v>
      </c>
    </row>
    <row r="211" spans="1:11" ht="15" customHeight="1">
      <c r="A211" s="27">
        <v>44403</v>
      </c>
      <c r="B211" s="157" t="s">
        <v>2455</v>
      </c>
      <c r="C211" s="28" t="s">
        <v>2424</v>
      </c>
      <c r="D211" s="28" t="s">
        <v>2425</v>
      </c>
      <c r="E211" s="228" t="s">
        <v>2477</v>
      </c>
      <c r="F211" s="226"/>
      <c r="G211" s="188" t="s">
        <v>2443</v>
      </c>
      <c r="H211" s="229"/>
      <c r="I211" s="26">
        <v>24000000</v>
      </c>
      <c r="J211" s="26">
        <v>20533333</v>
      </c>
      <c r="K211" s="100">
        <f t="shared" si="2"/>
        <v>3466667</v>
      </c>
    </row>
    <row r="212" spans="1:11" ht="15" customHeight="1">
      <c r="A212" s="27">
        <v>44404</v>
      </c>
      <c r="B212" s="157" t="s">
        <v>2215</v>
      </c>
      <c r="C212" s="28" t="s">
        <v>2426</v>
      </c>
      <c r="D212" s="28" t="s">
        <v>2427</v>
      </c>
      <c r="E212" s="228" t="s">
        <v>2478</v>
      </c>
      <c r="F212" s="226"/>
      <c r="G212" s="188" t="s">
        <v>2444</v>
      </c>
      <c r="H212" s="229"/>
      <c r="I212" s="26">
        <f>9600000-360000</f>
        <v>9240000</v>
      </c>
      <c r="J212" s="26">
        <v>9240000</v>
      </c>
      <c r="K212" s="100">
        <f t="shared" si="2"/>
        <v>0</v>
      </c>
    </row>
    <row r="213" spans="1:11" ht="15" customHeight="1">
      <c r="A213" s="27">
        <v>44405</v>
      </c>
      <c r="B213" s="157" t="s">
        <v>2368</v>
      </c>
      <c r="C213" s="28" t="s">
        <v>2428</v>
      </c>
      <c r="D213" s="28" t="s">
        <v>2429</v>
      </c>
      <c r="E213" s="228" t="s">
        <v>2479</v>
      </c>
      <c r="F213" s="226"/>
      <c r="G213" s="188" t="s">
        <v>48</v>
      </c>
      <c r="H213" s="229"/>
      <c r="I213" s="26">
        <v>22220800</v>
      </c>
      <c r="J213" s="26">
        <v>11612160</v>
      </c>
      <c r="K213" s="100">
        <f t="shared" si="2"/>
        <v>10608640</v>
      </c>
    </row>
    <row r="214" spans="1:11" ht="15" customHeight="1">
      <c r="A214" s="27">
        <v>44406</v>
      </c>
      <c r="B214" s="157" t="s">
        <v>2456</v>
      </c>
      <c r="C214" s="28" t="s">
        <v>2430</v>
      </c>
      <c r="D214" s="28" t="s">
        <v>2431</v>
      </c>
      <c r="E214" s="228" t="s">
        <v>2475</v>
      </c>
      <c r="F214" s="226"/>
      <c r="G214" s="188" t="s">
        <v>486</v>
      </c>
      <c r="H214" s="229"/>
      <c r="I214" s="26">
        <v>26112000</v>
      </c>
      <c r="J214" s="26">
        <v>25941333</v>
      </c>
      <c r="K214" s="100">
        <f t="shared" si="2"/>
        <v>170667</v>
      </c>
    </row>
    <row r="215" spans="1:11" ht="15" customHeight="1">
      <c r="A215" s="27">
        <v>44406</v>
      </c>
      <c r="B215" s="157" t="s">
        <v>2457</v>
      </c>
      <c r="C215" s="28" t="s">
        <v>2432</v>
      </c>
      <c r="D215" s="28" t="s">
        <v>2433</v>
      </c>
      <c r="E215" s="228" t="s">
        <v>2475</v>
      </c>
      <c r="F215" s="226"/>
      <c r="G215" s="188" t="s">
        <v>307</v>
      </c>
      <c r="H215" s="229"/>
      <c r="I215" s="26">
        <v>26112000</v>
      </c>
      <c r="J215" s="26">
        <v>25941333</v>
      </c>
      <c r="K215" s="100">
        <f t="shared" si="2"/>
        <v>170667</v>
      </c>
    </row>
    <row r="216" spans="1:11" ht="15" customHeight="1">
      <c r="A216" s="27">
        <v>44406</v>
      </c>
      <c r="B216" s="157" t="s">
        <v>2212</v>
      </c>
      <c r="C216" s="28" t="s">
        <v>2434</v>
      </c>
      <c r="D216" s="28" t="s">
        <v>2435</v>
      </c>
      <c r="E216" s="228" t="s">
        <v>2480</v>
      </c>
      <c r="F216" s="226"/>
      <c r="G216" s="188" t="s">
        <v>375</v>
      </c>
      <c r="H216" s="229"/>
      <c r="I216" s="26">
        <f>29098667-750934</f>
        <v>28347733</v>
      </c>
      <c r="J216" s="26">
        <v>22715733</v>
      </c>
      <c r="K216" s="100">
        <f t="shared" si="2"/>
        <v>5632000</v>
      </c>
    </row>
    <row r="217" spans="1:11" ht="15" customHeight="1">
      <c r="A217" s="27">
        <v>44407</v>
      </c>
      <c r="B217" s="157" t="s">
        <v>2458</v>
      </c>
      <c r="C217" s="28" t="s">
        <v>889</v>
      </c>
      <c r="D217" s="28" t="s">
        <v>2436</v>
      </c>
      <c r="E217" s="228" t="s">
        <v>2481</v>
      </c>
      <c r="F217" s="226"/>
      <c r="G217" s="188" t="s">
        <v>294</v>
      </c>
      <c r="H217" s="229"/>
      <c r="I217" s="26">
        <v>103910</v>
      </c>
      <c r="J217" s="26">
        <v>103910</v>
      </c>
      <c r="K217" s="100">
        <f t="shared" si="2"/>
        <v>0</v>
      </c>
    </row>
    <row r="218" spans="1:11" ht="15" customHeight="1">
      <c r="A218" s="27">
        <v>44407</v>
      </c>
      <c r="B218" s="157" t="s">
        <v>2459</v>
      </c>
      <c r="C218" s="28" t="s">
        <v>889</v>
      </c>
      <c r="D218" s="28" t="s">
        <v>2437</v>
      </c>
      <c r="E218" s="228" t="s">
        <v>2482</v>
      </c>
      <c r="F218" s="226"/>
      <c r="G218" s="188" t="s">
        <v>42</v>
      </c>
      <c r="H218" s="229"/>
      <c r="I218" s="26">
        <v>11306</v>
      </c>
      <c r="J218" s="26">
        <v>11306</v>
      </c>
      <c r="K218" s="100">
        <f t="shared" si="2"/>
        <v>0</v>
      </c>
    </row>
    <row r="219" spans="1:11" ht="15" customHeight="1">
      <c r="A219" s="27">
        <v>44407</v>
      </c>
      <c r="B219" s="157" t="s">
        <v>2460</v>
      </c>
      <c r="C219" s="28" t="s">
        <v>2438</v>
      </c>
      <c r="D219" s="28" t="s">
        <v>2439</v>
      </c>
      <c r="E219" s="228" t="s">
        <v>2483</v>
      </c>
      <c r="F219" s="226"/>
      <c r="G219" s="188" t="s">
        <v>311</v>
      </c>
      <c r="H219" s="229"/>
      <c r="I219" s="26">
        <v>26112000</v>
      </c>
      <c r="J219" s="26">
        <v>25770667</v>
      </c>
      <c r="K219" s="100">
        <f t="shared" si="2"/>
        <v>341333</v>
      </c>
    </row>
    <row r="220" spans="1:11" ht="15" customHeight="1">
      <c r="A220" s="27">
        <v>44410</v>
      </c>
      <c r="B220" s="157" t="s">
        <v>2219</v>
      </c>
      <c r="C220" s="28" t="s">
        <v>2786</v>
      </c>
      <c r="D220" s="28" t="s">
        <v>2854</v>
      </c>
      <c r="E220" s="228" t="s">
        <v>2966</v>
      </c>
      <c r="F220" s="226"/>
      <c r="G220" s="188" t="s">
        <v>470</v>
      </c>
      <c r="H220" s="229"/>
      <c r="I220" s="26">
        <v>35233333</v>
      </c>
      <c r="J220" s="26">
        <v>34766666</v>
      </c>
      <c r="K220" s="100">
        <f t="shared" si="2"/>
        <v>466667</v>
      </c>
    </row>
    <row r="221" spans="1:11" ht="15" customHeight="1">
      <c r="A221" s="27">
        <v>44410</v>
      </c>
      <c r="B221" s="157" t="s">
        <v>2340</v>
      </c>
      <c r="C221" s="28" t="s">
        <v>2630</v>
      </c>
      <c r="D221" s="28" t="s">
        <v>2855</v>
      </c>
      <c r="E221" s="228" t="s">
        <v>2967</v>
      </c>
      <c r="F221" s="226"/>
      <c r="G221" s="188" t="s">
        <v>178</v>
      </c>
      <c r="H221" s="229"/>
      <c r="I221" s="26">
        <f>22528000-450560</f>
        <v>22077440</v>
      </c>
      <c r="J221" s="26">
        <v>22077440</v>
      </c>
      <c r="K221" s="100">
        <f t="shared" si="2"/>
        <v>0</v>
      </c>
    </row>
    <row r="222" spans="1:11" ht="15" customHeight="1">
      <c r="A222" s="27">
        <v>44410</v>
      </c>
      <c r="B222" s="157" t="s">
        <v>2341</v>
      </c>
      <c r="C222" s="28" t="s">
        <v>2641</v>
      </c>
      <c r="D222" s="28" t="s">
        <v>2856</v>
      </c>
      <c r="E222" s="228" t="s">
        <v>2968</v>
      </c>
      <c r="F222" s="226"/>
      <c r="G222" s="188" t="s">
        <v>98</v>
      </c>
      <c r="H222" s="229"/>
      <c r="I222" s="26">
        <v>35498667</v>
      </c>
      <c r="J222" s="26">
        <v>33058133</v>
      </c>
      <c r="K222" s="100">
        <f t="shared" si="2"/>
        <v>2440534</v>
      </c>
    </row>
    <row r="223" spans="1:11" ht="15" customHeight="1">
      <c r="A223" s="27">
        <v>44410</v>
      </c>
      <c r="B223" s="157" t="s">
        <v>2370</v>
      </c>
      <c r="C223" s="28" t="s">
        <v>2642</v>
      </c>
      <c r="D223" s="28" t="s">
        <v>2857</v>
      </c>
      <c r="E223" s="228" t="s">
        <v>2969</v>
      </c>
      <c r="F223" s="226"/>
      <c r="G223" s="188" t="s">
        <v>115</v>
      </c>
      <c r="H223" s="229"/>
      <c r="I223" s="26">
        <v>22500000</v>
      </c>
      <c r="J223" s="26">
        <v>22350000</v>
      </c>
      <c r="K223" s="100">
        <f t="shared" si="2"/>
        <v>150000</v>
      </c>
    </row>
    <row r="224" spans="1:11" ht="15" customHeight="1">
      <c r="A224" s="27">
        <v>44412</v>
      </c>
      <c r="B224" s="157" t="s">
        <v>2363</v>
      </c>
      <c r="C224" s="28" t="s">
        <v>2785</v>
      </c>
      <c r="D224" s="28" t="s">
        <v>2858</v>
      </c>
      <c r="E224" s="228" t="s">
        <v>2970</v>
      </c>
      <c r="F224" s="226"/>
      <c r="G224" s="188" t="s">
        <v>399</v>
      </c>
      <c r="H224" s="229"/>
      <c r="I224" s="26">
        <v>25066000</v>
      </c>
      <c r="J224" s="26">
        <v>24402000</v>
      </c>
      <c r="K224" s="100">
        <f t="shared" si="2"/>
        <v>664000</v>
      </c>
    </row>
    <row r="225" spans="1:11" ht="15" customHeight="1">
      <c r="A225" s="27">
        <v>44413</v>
      </c>
      <c r="B225" s="157" t="s">
        <v>2346</v>
      </c>
      <c r="C225" s="28" t="s">
        <v>2859</v>
      </c>
      <c r="D225" s="28" t="s">
        <v>2860</v>
      </c>
      <c r="E225" s="228" t="s">
        <v>2971</v>
      </c>
      <c r="F225" s="226"/>
      <c r="G225" s="188" t="s">
        <v>177</v>
      </c>
      <c r="H225" s="229"/>
      <c r="I225" s="26">
        <v>30720000</v>
      </c>
      <c r="J225" s="26">
        <v>29900800</v>
      </c>
      <c r="K225" s="100">
        <f t="shared" si="2"/>
        <v>819200</v>
      </c>
    </row>
    <row r="226" spans="1:11" ht="15" customHeight="1">
      <c r="A226" s="27">
        <v>44413</v>
      </c>
      <c r="B226" s="157" t="s">
        <v>2952</v>
      </c>
      <c r="C226" s="28" t="s">
        <v>2347</v>
      </c>
      <c r="D226" s="28" t="s">
        <v>2861</v>
      </c>
      <c r="E226" s="228" t="s">
        <v>2972</v>
      </c>
      <c r="F226" s="226"/>
      <c r="G226" s="188" t="s">
        <v>1165</v>
      </c>
      <c r="H226" s="229"/>
      <c r="I226" s="26">
        <v>2795000</v>
      </c>
      <c r="J226" s="26">
        <v>2795000</v>
      </c>
      <c r="K226" s="100">
        <f t="shared" si="2"/>
        <v>0</v>
      </c>
    </row>
    <row r="227" spans="1:11" ht="15" customHeight="1">
      <c r="A227" s="27">
        <v>44413</v>
      </c>
      <c r="B227" s="157" t="s">
        <v>2782</v>
      </c>
      <c r="C227" s="28" t="s">
        <v>2436</v>
      </c>
      <c r="D227" s="28" t="s">
        <v>2862</v>
      </c>
      <c r="E227" s="228" t="s">
        <v>2973</v>
      </c>
      <c r="F227" s="226"/>
      <c r="G227" s="188" t="s">
        <v>108</v>
      </c>
      <c r="H227" s="229"/>
      <c r="I227" s="26">
        <f>16189440-740693</f>
        <v>15448747</v>
      </c>
      <c r="J227" s="26">
        <v>15448747</v>
      </c>
      <c r="K227" s="100">
        <f t="shared" si="2"/>
        <v>0</v>
      </c>
    </row>
    <row r="228" spans="1:11" ht="15" customHeight="1">
      <c r="A228" s="27">
        <v>44413</v>
      </c>
      <c r="B228" s="157" t="s">
        <v>2295</v>
      </c>
      <c r="C228" s="28" t="s">
        <v>2665</v>
      </c>
      <c r="D228" s="28" t="s">
        <v>2863</v>
      </c>
      <c r="E228" s="228" t="s">
        <v>2477</v>
      </c>
      <c r="F228" s="226"/>
      <c r="G228" s="188" t="s">
        <v>2943</v>
      </c>
      <c r="H228" s="229"/>
      <c r="I228" s="26">
        <v>20133333</v>
      </c>
      <c r="J228" s="26">
        <v>19466666</v>
      </c>
      <c r="K228" s="100">
        <f t="shared" si="2"/>
        <v>666667</v>
      </c>
    </row>
    <row r="229" spans="1:11" ht="15" customHeight="1">
      <c r="A229" s="27">
        <v>44413</v>
      </c>
      <c r="B229" s="157" t="s">
        <v>2288</v>
      </c>
      <c r="C229" s="28" t="s">
        <v>2540</v>
      </c>
      <c r="D229" s="28" t="s">
        <v>2864</v>
      </c>
      <c r="E229" s="228" t="s">
        <v>2974</v>
      </c>
      <c r="F229" s="226"/>
      <c r="G229" s="188" t="s">
        <v>2944</v>
      </c>
      <c r="H229" s="229"/>
      <c r="I229" s="26">
        <v>25166667</v>
      </c>
      <c r="J229" s="26">
        <v>23666667</v>
      </c>
      <c r="K229" s="100">
        <f t="shared" si="2"/>
        <v>1500000</v>
      </c>
    </row>
    <row r="230" spans="1:11" ht="15" customHeight="1">
      <c r="A230" s="27">
        <v>44413</v>
      </c>
      <c r="B230" s="157" t="s">
        <v>2229</v>
      </c>
      <c r="C230" s="28" t="s">
        <v>2656</v>
      </c>
      <c r="D230" s="28" t="s">
        <v>2865</v>
      </c>
      <c r="E230" s="228" t="s">
        <v>2975</v>
      </c>
      <c r="F230" s="226"/>
      <c r="G230" s="188" t="s">
        <v>2945</v>
      </c>
      <c r="H230" s="229"/>
      <c r="I230" s="26">
        <v>20133333</v>
      </c>
      <c r="J230" s="26">
        <v>19466666</v>
      </c>
      <c r="K230" s="100">
        <f t="shared" si="2"/>
        <v>666667</v>
      </c>
    </row>
    <row r="231" spans="1:11" ht="15" customHeight="1">
      <c r="A231" s="27">
        <v>44417</v>
      </c>
      <c r="B231" s="157" t="s">
        <v>2227</v>
      </c>
      <c r="C231" s="28" t="s">
        <v>2866</v>
      </c>
      <c r="D231" s="28" t="s">
        <v>2867</v>
      </c>
      <c r="E231" s="228" t="s">
        <v>1968</v>
      </c>
      <c r="F231" s="226"/>
      <c r="G231" s="188" t="s">
        <v>107</v>
      </c>
      <c r="H231" s="229"/>
      <c r="I231" s="26">
        <v>26704166</v>
      </c>
      <c r="J231" s="26">
        <v>26151667</v>
      </c>
      <c r="K231" s="100">
        <f t="shared" si="2"/>
        <v>552499</v>
      </c>
    </row>
    <row r="232" spans="1:11" ht="15" customHeight="1">
      <c r="A232" s="27">
        <v>44417</v>
      </c>
      <c r="B232" s="157" t="s">
        <v>2953</v>
      </c>
      <c r="C232" s="28" t="s">
        <v>889</v>
      </c>
      <c r="D232" s="28" t="s">
        <v>2868</v>
      </c>
      <c r="E232" s="228" t="s">
        <v>2976</v>
      </c>
      <c r="F232" s="226"/>
      <c r="G232" s="188" t="s">
        <v>294</v>
      </c>
      <c r="H232" s="229"/>
      <c r="I232" s="26">
        <v>140188</v>
      </c>
      <c r="J232" s="26">
        <v>140188</v>
      </c>
      <c r="K232" s="100">
        <f t="shared" si="2"/>
        <v>0</v>
      </c>
    </row>
    <row r="233" spans="1:11" ht="15" customHeight="1">
      <c r="A233" s="27">
        <v>44417</v>
      </c>
      <c r="B233" s="157" t="s">
        <v>2954</v>
      </c>
      <c r="C233" s="28" t="s">
        <v>889</v>
      </c>
      <c r="D233" s="28" t="s">
        <v>2869</v>
      </c>
      <c r="E233" s="228" t="s">
        <v>2977</v>
      </c>
      <c r="F233" s="226"/>
      <c r="G233" s="188" t="s">
        <v>43</v>
      </c>
      <c r="H233" s="229"/>
      <c r="I233" s="26">
        <v>464210</v>
      </c>
      <c r="J233" s="26">
        <v>464210</v>
      </c>
      <c r="K233" s="100">
        <f t="shared" si="2"/>
        <v>0</v>
      </c>
    </row>
    <row r="234" spans="1:11" ht="15" customHeight="1">
      <c r="A234" s="27">
        <v>44417</v>
      </c>
      <c r="B234" s="157" t="s">
        <v>2293</v>
      </c>
      <c r="C234" s="28" t="s">
        <v>2870</v>
      </c>
      <c r="D234" s="28" t="s">
        <v>2871</v>
      </c>
      <c r="E234" s="228" t="s">
        <v>2477</v>
      </c>
      <c r="F234" s="226"/>
      <c r="G234" s="188" t="s">
        <v>47</v>
      </c>
      <c r="H234" s="229"/>
      <c r="I234" s="26">
        <v>21504000</v>
      </c>
      <c r="J234" s="26">
        <v>20213760</v>
      </c>
      <c r="K234" s="100">
        <f t="shared" si="2"/>
        <v>1290240</v>
      </c>
    </row>
    <row r="235" spans="1:11" ht="15" customHeight="1">
      <c r="A235" s="27">
        <v>44418</v>
      </c>
      <c r="B235" s="157" t="s">
        <v>2953</v>
      </c>
      <c r="C235" s="28" t="s">
        <v>889</v>
      </c>
      <c r="D235" s="28" t="s">
        <v>2872</v>
      </c>
      <c r="E235" s="228" t="s">
        <v>2978</v>
      </c>
      <c r="F235" s="226"/>
      <c r="G235" s="188" t="s">
        <v>294</v>
      </c>
      <c r="H235" s="229"/>
      <c r="I235" s="26">
        <v>2</v>
      </c>
      <c r="J235" s="26">
        <v>2</v>
      </c>
      <c r="K235" s="100">
        <f t="shared" si="2"/>
        <v>0</v>
      </c>
    </row>
    <row r="236" spans="1:11" ht="15" customHeight="1">
      <c r="A236" s="27">
        <v>44418</v>
      </c>
      <c r="B236" s="157" t="s">
        <v>2347</v>
      </c>
      <c r="C236" s="28" t="s">
        <v>2873</v>
      </c>
      <c r="D236" s="28" t="s">
        <v>2874</v>
      </c>
      <c r="E236" s="228" t="s">
        <v>2979</v>
      </c>
      <c r="F236" s="226"/>
      <c r="G236" s="188" t="s">
        <v>1150</v>
      </c>
      <c r="H236" s="229"/>
      <c r="I236" s="26">
        <v>30580666</v>
      </c>
      <c r="J236" s="26">
        <v>30580666</v>
      </c>
      <c r="K236" s="100">
        <f t="shared" si="2"/>
        <v>0</v>
      </c>
    </row>
    <row r="237" spans="1:11" ht="15" customHeight="1">
      <c r="A237" s="27">
        <v>44419</v>
      </c>
      <c r="B237" s="157" t="s">
        <v>2588</v>
      </c>
      <c r="C237" s="28" t="s">
        <v>2875</v>
      </c>
      <c r="D237" s="28" t="s">
        <v>2876</v>
      </c>
      <c r="E237" s="228" t="s">
        <v>2980</v>
      </c>
      <c r="F237" s="226"/>
      <c r="G237" s="188" t="s">
        <v>1008</v>
      </c>
      <c r="H237" s="229"/>
      <c r="I237" s="26">
        <v>21176320</v>
      </c>
      <c r="J237" s="26">
        <v>20875947</v>
      </c>
      <c r="K237" s="100">
        <f t="shared" si="2"/>
        <v>300373</v>
      </c>
    </row>
    <row r="238" spans="1:11" ht="15" customHeight="1">
      <c r="A238" s="27">
        <v>44419</v>
      </c>
      <c r="B238" s="157" t="s">
        <v>2955</v>
      </c>
      <c r="C238" s="28" t="s">
        <v>889</v>
      </c>
      <c r="D238" s="28" t="s">
        <v>2877</v>
      </c>
      <c r="E238" s="228" t="s">
        <v>2981</v>
      </c>
      <c r="F238" s="226"/>
      <c r="G238" s="188" t="s">
        <v>294</v>
      </c>
      <c r="H238" s="229"/>
      <c r="I238" s="26">
        <v>318390</v>
      </c>
      <c r="J238" s="26">
        <v>318390</v>
      </c>
      <c r="K238" s="100">
        <f t="shared" si="2"/>
        <v>0</v>
      </c>
    </row>
    <row r="239" spans="1:11" ht="15" customHeight="1">
      <c r="A239" s="27">
        <v>44419</v>
      </c>
      <c r="B239" s="157" t="s">
        <v>2956</v>
      </c>
      <c r="C239" s="28" t="s">
        <v>889</v>
      </c>
      <c r="D239" s="28" t="s">
        <v>2878</v>
      </c>
      <c r="E239" s="228" t="s">
        <v>2982</v>
      </c>
      <c r="F239" s="226"/>
      <c r="G239" s="188" t="s">
        <v>43</v>
      </c>
      <c r="H239" s="229"/>
      <c r="I239" s="26">
        <v>49780</v>
      </c>
      <c r="J239" s="26">
        <v>49780</v>
      </c>
      <c r="K239" s="100">
        <f t="shared" si="2"/>
        <v>0</v>
      </c>
    </row>
    <row r="240" spans="1:11" ht="15" customHeight="1">
      <c r="A240" s="27">
        <v>44420</v>
      </c>
      <c r="B240" s="157" t="s">
        <v>2400</v>
      </c>
      <c r="C240" s="28" t="s">
        <v>2879</v>
      </c>
      <c r="D240" s="28" t="s">
        <v>2880</v>
      </c>
      <c r="E240" s="228" t="s">
        <v>2983</v>
      </c>
      <c r="F240" s="226"/>
      <c r="G240" s="188" t="s">
        <v>308</v>
      </c>
      <c r="H240" s="229"/>
      <c r="I240" s="26">
        <v>25380000</v>
      </c>
      <c r="J240" s="26">
        <v>24120000</v>
      </c>
      <c r="K240" s="100">
        <f t="shared" si="2"/>
        <v>1260000</v>
      </c>
    </row>
    <row r="241" spans="1:11" ht="15" customHeight="1">
      <c r="A241" s="27">
        <v>44421</v>
      </c>
      <c r="B241" s="157" t="s">
        <v>2763</v>
      </c>
      <c r="C241" s="28" t="s">
        <v>2881</v>
      </c>
      <c r="D241" s="28" t="s">
        <v>2882</v>
      </c>
      <c r="E241" s="228" t="s">
        <v>1769</v>
      </c>
      <c r="F241" s="226"/>
      <c r="G241" s="188" t="s">
        <v>113</v>
      </c>
      <c r="H241" s="229"/>
      <c r="I241" s="26">
        <f>27221333-1314133</f>
        <v>25907200</v>
      </c>
      <c r="J241" s="26">
        <v>25907200</v>
      </c>
      <c r="K241" s="100">
        <f t="shared" si="2"/>
        <v>0</v>
      </c>
    </row>
    <row r="242" spans="1:11" ht="15" customHeight="1">
      <c r="A242" s="27">
        <v>44421</v>
      </c>
      <c r="B242" s="157" t="s">
        <v>2957</v>
      </c>
      <c r="C242" s="28" t="s">
        <v>889</v>
      </c>
      <c r="D242" s="28" t="s">
        <v>2883</v>
      </c>
      <c r="E242" s="228" t="s">
        <v>2984</v>
      </c>
      <c r="F242" s="226"/>
      <c r="G242" s="188" t="s">
        <v>294</v>
      </c>
      <c r="H242" s="229"/>
      <c r="I242" s="26">
        <v>199210</v>
      </c>
      <c r="J242" s="26">
        <v>199210</v>
      </c>
      <c r="K242" s="100">
        <f t="shared" si="2"/>
        <v>0</v>
      </c>
    </row>
    <row r="243" spans="1:11" ht="15" customHeight="1">
      <c r="A243" s="27">
        <v>44421</v>
      </c>
      <c r="B243" s="157" t="s">
        <v>2958</v>
      </c>
      <c r="C243" s="28" t="s">
        <v>889</v>
      </c>
      <c r="D243" s="28" t="s">
        <v>2884</v>
      </c>
      <c r="E243" s="228" t="s">
        <v>2985</v>
      </c>
      <c r="F243" s="226"/>
      <c r="G243" s="188" t="s">
        <v>43</v>
      </c>
      <c r="H243" s="229"/>
      <c r="I243" s="26">
        <v>32810</v>
      </c>
      <c r="J243" s="26">
        <v>32810</v>
      </c>
      <c r="K243" s="100">
        <f t="shared" si="2"/>
        <v>0</v>
      </c>
    </row>
    <row r="244" spans="1:11" ht="15" customHeight="1">
      <c r="A244" s="27">
        <v>44421</v>
      </c>
      <c r="B244" s="157" t="s">
        <v>2401</v>
      </c>
      <c r="C244" s="28" t="s">
        <v>2885</v>
      </c>
      <c r="D244" s="28" t="s">
        <v>2886</v>
      </c>
      <c r="E244" s="228" t="s">
        <v>2986</v>
      </c>
      <c r="F244" s="226"/>
      <c r="G244" s="188" t="s">
        <v>180</v>
      </c>
      <c r="H244" s="229"/>
      <c r="I244" s="26">
        <v>20926667</v>
      </c>
      <c r="J244" s="26">
        <v>10463333</v>
      </c>
      <c r="K244" s="100">
        <f t="shared" si="2"/>
        <v>10463334</v>
      </c>
    </row>
    <row r="245" spans="1:11" ht="15" customHeight="1">
      <c r="A245" s="27">
        <v>44421</v>
      </c>
      <c r="B245" s="157" t="s">
        <v>2402</v>
      </c>
      <c r="C245" s="28" t="s">
        <v>2887</v>
      </c>
      <c r="D245" s="28" t="s">
        <v>2888</v>
      </c>
      <c r="E245" s="228" t="s">
        <v>2987</v>
      </c>
      <c r="F245" s="226"/>
      <c r="G245" s="188" t="s">
        <v>471</v>
      </c>
      <c r="H245" s="229"/>
      <c r="I245" s="26">
        <v>14451567</v>
      </c>
      <c r="J245" s="26">
        <v>13659700</v>
      </c>
      <c r="K245" s="100">
        <f t="shared" si="2"/>
        <v>791867</v>
      </c>
    </row>
    <row r="246" spans="1:11" ht="15" customHeight="1">
      <c r="A246" s="27">
        <v>44421</v>
      </c>
      <c r="B246" s="157" t="s">
        <v>2112</v>
      </c>
      <c r="C246" s="28" t="s">
        <v>2889</v>
      </c>
      <c r="D246" s="28" t="s">
        <v>2890</v>
      </c>
      <c r="E246" s="228" t="s">
        <v>2988</v>
      </c>
      <c r="F246" s="226"/>
      <c r="G246" s="188" t="s">
        <v>2946</v>
      </c>
      <c r="H246" s="229"/>
      <c r="I246" s="26">
        <f>10000000-526</f>
        <v>9999474</v>
      </c>
      <c r="J246" s="26">
        <v>9999474</v>
      </c>
      <c r="K246" s="100">
        <f t="shared" si="2"/>
        <v>0</v>
      </c>
    </row>
    <row r="247" spans="1:11" ht="15" customHeight="1">
      <c r="A247" s="27">
        <v>44425</v>
      </c>
      <c r="B247" s="157" t="s">
        <v>2488</v>
      </c>
      <c r="C247" s="28" t="s">
        <v>2891</v>
      </c>
      <c r="D247" s="28" t="s">
        <v>2892</v>
      </c>
      <c r="E247" s="228" t="s">
        <v>2989</v>
      </c>
      <c r="F247" s="226"/>
      <c r="G247" s="188" t="s">
        <v>1022</v>
      </c>
      <c r="H247" s="229"/>
      <c r="I247" s="26">
        <v>23722667</v>
      </c>
      <c r="J247" s="26">
        <v>22869333</v>
      </c>
      <c r="K247" s="100">
        <f t="shared" si="2"/>
        <v>853334</v>
      </c>
    </row>
    <row r="248" spans="1:11" ht="15" customHeight="1">
      <c r="A248" s="27">
        <v>44425</v>
      </c>
      <c r="B248" s="157" t="s">
        <v>2490</v>
      </c>
      <c r="C248" s="28" t="s">
        <v>2893</v>
      </c>
      <c r="D248" s="28" t="s">
        <v>2894</v>
      </c>
      <c r="E248" s="228" t="s">
        <v>2990</v>
      </c>
      <c r="F248" s="226"/>
      <c r="G248" s="188" t="s">
        <v>1017</v>
      </c>
      <c r="H248" s="229"/>
      <c r="I248" s="26">
        <v>20875947</v>
      </c>
      <c r="J248" s="26">
        <v>20125013</v>
      </c>
      <c r="K248" s="100">
        <f t="shared" si="2"/>
        <v>750934</v>
      </c>
    </row>
    <row r="249" spans="1:11" ht="15" customHeight="1">
      <c r="A249" s="27">
        <v>44425</v>
      </c>
      <c r="B249" s="157" t="s">
        <v>2492</v>
      </c>
      <c r="C249" s="28" t="s">
        <v>2895</v>
      </c>
      <c r="D249" s="28" t="s">
        <v>2896</v>
      </c>
      <c r="E249" s="228" t="s">
        <v>2991</v>
      </c>
      <c r="F249" s="226"/>
      <c r="G249" s="188" t="s">
        <v>1019</v>
      </c>
      <c r="H249" s="229"/>
      <c r="I249" s="26">
        <v>19927040</v>
      </c>
      <c r="J249" s="26">
        <v>19210240</v>
      </c>
      <c r="K249" s="100">
        <f t="shared" si="2"/>
        <v>716800</v>
      </c>
    </row>
    <row r="250" spans="1:11" ht="15" customHeight="1">
      <c r="A250" s="27">
        <v>44425</v>
      </c>
      <c r="B250" s="157" t="s">
        <v>2510</v>
      </c>
      <c r="C250" s="28" t="s">
        <v>2857</v>
      </c>
      <c r="D250" s="28" t="s">
        <v>2897</v>
      </c>
      <c r="E250" s="228" t="s">
        <v>2992</v>
      </c>
      <c r="F250" s="226"/>
      <c r="G250" s="188" t="s">
        <v>1023</v>
      </c>
      <c r="H250" s="229"/>
      <c r="I250" s="26">
        <v>20875947</v>
      </c>
      <c r="J250" s="26">
        <v>20125013</v>
      </c>
      <c r="K250" s="100">
        <f t="shared" si="2"/>
        <v>750934</v>
      </c>
    </row>
    <row r="251" spans="1:11" ht="15" customHeight="1">
      <c r="A251" s="27">
        <v>44425</v>
      </c>
      <c r="B251" s="157" t="s">
        <v>2508</v>
      </c>
      <c r="C251" s="28" t="s">
        <v>2898</v>
      </c>
      <c r="D251" s="28" t="s">
        <v>2899</v>
      </c>
      <c r="E251" s="228" t="s">
        <v>2993</v>
      </c>
      <c r="F251" s="226"/>
      <c r="G251" s="188" t="s">
        <v>484</v>
      </c>
      <c r="H251" s="229"/>
      <c r="I251" s="26">
        <v>26583333</v>
      </c>
      <c r="J251" s="26">
        <v>0</v>
      </c>
      <c r="K251" s="100">
        <f t="shared" si="2"/>
        <v>26583333</v>
      </c>
    </row>
    <row r="252" spans="1:11" ht="15" customHeight="1">
      <c r="A252" s="27">
        <v>44425</v>
      </c>
      <c r="B252" s="157" t="s">
        <v>2594</v>
      </c>
      <c r="C252" s="28" t="s">
        <v>2900</v>
      </c>
      <c r="D252" s="28" t="s">
        <v>2901</v>
      </c>
      <c r="E252" s="228" t="s">
        <v>2994</v>
      </c>
      <c r="F252" s="226"/>
      <c r="G252" s="188" t="s">
        <v>1026</v>
      </c>
      <c r="H252" s="229"/>
      <c r="I252" s="26">
        <v>20060600</v>
      </c>
      <c r="J252" s="26">
        <v>19479133</v>
      </c>
      <c r="K252" s="100">
        <f t="shared" si="2"/>
        <v>581467</v>
      </c>
    </row>
    <row r="253" spans="1:11" ht="15" customHeight="1">
      <c r="A253" s="27">
        <v>44426</v>
      </c>
      <c r="B253" s="157" t="s">
        <v>2593</v>
      </c>
      <c r="C253" s="28" t="s">
        <v>2902</v>
      </c>
      <c r="D253" s="28" t="s">
        <v>2903</v>
      </c>
      <c r="E253" s="228" t="s">
        <v>2994</v>
      </c>
      <c r="F253" s="226"/>
      <c r="G253" s="188" t="s">
        <v>1021</v>
      </c>
      <c r="H253" s="229"/>
      <c r="I253" s="26">
        <f>23552000-682667</f>
        <v>22869333</v>
      </c>
      <c r="J253" s="26">
        <v>22869333</v>
      </c>
      <c r="K253" s="100">
        <f t="shared" si="2"/>
        <v>0</v>
      </c>
    </row>
    <row r="254" spans="1:11" ht="15" customHeight="1">
      <c r="A254" s="27">
        <v>44426</v>
      </c>
      <c r="B254" s="157" t="s">
        <v>2506</v>
      </c>
      <c r="C254" s="28" t="s">
        <v>2904</v>
      </c>
      <c r="D254" s="28" t="s">
        <v>2905</v>
      </c>
      <c r="E254" s="228" t="s">
        <v>2995</v>
      </c>
      <c r="F254" s="226"/>
      <c r="G254" s="188" t="s">
        <v>1024</v>
      </c>
      <c r="H254" s="229"/>
      <c r="I254" s="26">
        <v>19783680</v>
      </c>
      <c r="J254" s="26">
        <v>18923520</v>
      </c>
      <c r="K254" s="100">
        <f t="shared" si="2"/>
        <v>860160</v>
      </c>
    </row>
    <row r="255" spans="1:11" ht="15" customHeight="1">
      <c r="A255" s="27">
        <v>44427</v>
      </c>
      <c r="B255" s="157" t="s">
        <v>2502</v>
      </c>
      <c r="C255" s="28" t="s">
        <v>2906</v>
      </c>
      <c r="D255" s="28" t="s">
        <v>2907</v>
      </c>
      <c r="E255" s="228" t="s">
        <v>2994</v>
      </c>
      <c r="F255" s="226"/>
      <c r="G255" s="188" t="s">
        <v>2947</v>
      </c>
      <c r="H255" s="229"/>
      <c r="I255" s="26">
        <f>23552000-1706667</f>
        <v>21845333</v>
      </c>
      <c r="J255" s="26">
        <v>21845333</v>
      </c>
      <c r="K255" s="100">
        <f t="shared" si="2"/>
        <v>0</v>
      </c>
    </row>
    <row r="256" spans="1:11" ht="15" customHeight="1">
      <c r="A256" s="27">
        <v>44427</v>
      </c>
      <c r="B256" s="157" t="s">
        <v>2407</v>
      </c>
      <c r="C256" s="28" t="s">
        <v>2908</v>
      </c>
      <c r="D256" s="28" t="s">
        <v>2909</v>
      </c>
      <c r="E256" s="228" t="s">
        <v>2996</v>
      </c>
      <c r="F256" s="226"/>
      <c r="G256" s="188" t="s">
        <v>1015</v>
      </c>
      <c r="H256" s="229"/>
      <c r="I256" s="26">
        <f>25907200-1126400</f>
        <v>24780800</v>
      </c>
      <c r="J256" s="26">
        <v>24780800</v>
      </c>
      <c r="K256" s="100">
        <f t="shared" si="2"/>
        <v>0</v>
      </c>
    </row>
    <row r="257" spans="1:11" ht="15" customHeight="1">
      <c r="A257" s="27">
        <v>44427</v>
      </c>
      <c r="B257" s="157" t="s">
        <v>2408</v>
      </c>
      <c r="C257" s="28" t="s">
        <v>2910</v>
      </c>
      <c r="D257" s="28" t="s">
        <v>2911</v>
      </c>
      <c r="E257" s="228" t="s">
        <v>2995</v>
      </c>
      <c r="F257" s="226"/>
      <c r="G257" s="188" t="s">
        <v>1037</v>
      </c>
      <c r="H257" s="229"/>
      <c r="I257" s="26">
        <f>22698667-341334</f>
        <v>22357333</v>
      </c>
      <c r="J257" s="26">
        <v>22357333</v>
      </c>
      <c r="K257" s="100">
        <f t="shared" si="2"/>
        <v>0</v>
      </c>
    </row>
    <row r="258" spans="1:11" ht="15" customHeight="1">
      <c r="A258" s="27">
        <v>44427</v>
      </c>
      <c r="B258" s="157" t="s">
        <v>2405</v>
      </c>
      <c r="C258" s="28" t="s">
        <v>2912</v>
      </c>
      <c r="D258" s="28" t="s">
        <v>2913</v>
      </c>
      <c r="E258" s="228" t="s">
        <v>2997</v>
      </c>
      <c r="F258" s="226"/>
      <c r="G258" s="188" t="s">
        <v>1756</v>
      </c>
      <c r="H258" s="229"/>
      <c r="I258" s="26">
        <f>19478798-436092</f>
        <v>19042706</v>
      </c>
      <c r="J258" s="26">
        <v>19042706</v>
      </c>
      <c r="K258" s="100">
        <f t="shared" si="2"/>
        <v>0</v>
      </c>
    </row>
    <row r="259" spans="1:11" ht="15" customHeight="1">
      <c r="A259" s="27">
        <v>44428</v>
      </c>
      <c r="B259" s="157" t="s">
        <v>2959</v>
      </c>
      <c r="C259" s="28" t="s">
        <v>889</v>
      </c>
      <c r="D259" s="28" t="s">
        <v>2914</v>
      </c>
      <c r="E259" s="228" t="s">
        <v>2998</v>
      </c>
      <c r="F259" s="226"/>
      <c r="G259" s="188" t="s">
        <v>372</v>
      </c>
      <c r="H259" s="229"/>
      <c r="I259" s="26">
        <v>1156730</v>
      </c>
      <c r="J259" s="26">
        <v>1156730</v>
      </c>
      <c r="K259" s="100">
        <f t="shared" si="2"/>
        <v>0</v>
      </c>
    </row>
    <row r="260" spans="1:11" ht="15" customHeight="1">
      <c r="A260" s="27">
        <v>44428</v>
      </c>
      <c r="B260" s="157" t="s">
        <v>2730</v>
      </c>
      <c r="C260" s="28" t="s">
        <v>2915</v>
      </c>
      <c r="D260" s="28" t="s">
        <v>2916</v>
      </c>
      <c r="E260" s="228" t="s">
        <v>2999</v>
      </c>
      <c r="F260" s="226"/>
      <c r="G260" s="188" t="s">
        <v>1039</v>
      </c>
      <c r="H260" s="229"/>
      <c r="I260" s="26">
        <v>31266667</v>
      </c>
      <c r="J260" s="26">
        <v>29866667</v>
      </c>
      <c r="K260" s="100">
        <f t="shared" si="2"/>
        <v>1400000</v>
      </c>
    </row>
    <row r="261" spans="1:11" ht="15" customHeight="1">
      <c r="A261" s="27">
        <v>44431</v>
      </c>
      <c r="B261" s="157" t="s">
        <v>2599</v>
      </c>
      <c r="C261" s="28" t="s">
        <v>2917</v>
      </c>
      <c r="D261" s="28" t="s">
        <v>2918</v>
      </c>
      <c r="E261" s="228" t="s">
        <v>3000</v>
      </c>
      <c r="F261" s="226"/>
      <c r="G261" s="188" t="s">
        <v>395</v>
      </c>
      <c r="H261" s="229"/>
      <c r="I261" s="26">
        <v>20275200</v>
      </c>
      <c r="J261" s="26">
        <v>19507200</v>
      </c>
      <c r="K261" s="100">
        <f t="shared" si="2"/>
        <v>768000</v>
      </c>
    </row>
    <row r="262" spans="1:11" ht="15" customHeight="1">
      <c r="A262" s="27">
        <v>44431</v>
      </c>
      <c r="B262" s="157" t="s">
        <v>2504</v>
      </c>
      <c r="C262" s="28" t="s">
        <v>2867</v>
      </c>
      <c r="D262" s="28" t="s">
        <v>2919</v>
      </c>
      <c r="E262" s="228" t="s">
        <v>3001</v>
      </c>
      <c r="F262" s="226"/>
      <c r="G262" s="188" t="s">
        <v>1016</v>
      </c>
      <c r="H262" s="229"/>
      <c r="I262" s="26">
        <v>23143333</v>
      </c>
      <c r="J262" s="26">
        <v>19610000</v>
      </c>
      <c r="K262" s="100">
        <f t="shared" si="2"/>
        <v>3533333</v>
      </c>
    </row>
    <row r="263" spans="1:11" ht="15" customHeight="1">
      <c r="A263" s="27">
        <v>44431</v>
      </c>
      <c r="B263" s="157" t="s">
        <v>2762</v>
      </c>
      <c r="C263" s="28" t="s">
        <v>2920</v>
      </c>
      <c r="D263" s="28" t="s">
        <v>2921</v>
      </c>
      <c r="E263" s="228" t="s">
        <v>3002</v>
      </c>
      <c r="F263" s="226"/>
      <c r="G263" s="188" t="s">
        <v>1030</v>
      </c>
      <c r="H263" s="229"/>
      <c r="I263" s="26">
        <f>19479133-1017566</f>
        <v>18461567</v>
      </c>
      <c r="J263" s="26">
        <v>18461567</v>
      </c>
      <c r="K263" s="100">
        <f t="shared" si="2"/>
        <v>0</v>
      </c>
    </row>
    <row r="264" spans="1:11" ht="15" customHeight="1">
      <c r="A264" s="27">
        <v>44433</v>
      </c>
      <c r="B264" s="157" t="s">
        <v>2960</v>
      </c>
      <c r="C264" s="28" t="s">
        <v>2922</v>
      </c>
      <c r="D264" s="28" t="s">
        <v>2923</v>
      </c>
      <c r="E264" s="228" t="s">
        <v>3003</v>
      </c>
      <c r="F264" s="226"/>
      <c r="G264" s="188" t="s">
        <v>2948</v>
      </c>
      <c r="H264" s="229"/>
      <c r="I264" s="26">
        <v>3178800</v>
      </c>
      <c r="J264" s="26">
        <v>3178800</v>
      </c>
      <c r="K264" s="100">
        <f t="shared" si="2"/>
        <v>0</v>
      </c>
    </row>
    <row r="265" spans="1:11" ht="15" customHeight="1">
      <c r="A265" s="27">
        <v>44433</v>
      </c>
      <c r="B265" s="157" t="s">
        <v>2514</v>
      </c>
      <c r="C265" s="28" t="s">
        <v>2924</v>
      </c>
      <c r="D265" s="28" t="s">
        <v>2925</v>
      </c>
      <c r="E265" s="228" t="s">
        <v>3004</v>
      </c>
      <c r="F265" s="226"/>
      <c r="G265" s="188" t="s">
        <v>1035</v>
      </c>
      <c r="H265" s="229"/>
      <c r="I265" s="26">
        <v>26400000</v>
      </c>
      <c r="J265" s="26">
        <v>25200000</v>
      </c>
      <c r="K265" s="100">
        <f t="shared" si="2"/>
        <v>1200000</v>
      </c>
    </row>
    <row r="266" spans="1:11" ht="15" customHeight="1">
      <c r="A266" s="27">
        <v>44435</v>
      </c>
      <c r="B266" s="157" t="s">
        <v>2521</v>
      </c>
      <c r="C266" s="28" t="s">
        <v>2926</v>
      </c>
      <c r="D266" s="28" t="s">
        <v>2927</v>
      </c>
      <c r="E266" s="228" t="s">
        <v>2987</v>
      </c>
      <c r="F266" s="226"/>
      <c r="G266" s="188" t="s">
        <v>1014</v>
      </c>
      <c r="H266" s="229"/>
      <c r="I266" s="26">
        <v>11093333</v>
      </c>
      <c r="J266" s="26">
        <v>10581333</v>
      </c>
      <c r="K266" s="100">
        <f t="shared" si="2"/>
        <v>512000</v>
      </c>
    </row>
    <row r="267" spans="1:11" ht="15" customHeight="1">
      <c r="A267" s="27">
        <v>44435</v>
      </c>
      <c r="B267" s="157" t="s">
        <v>2517</v>
      </c>
      <c r="C267" s="28" t="s">
        <v>2928</v>
      </c>
      <c r="D267" s="28" t="s">
        <v>2929</v>
      </c>
      <c r="E267" s="228" t="s">
        <v>2967</v>
      </c>
      <c r="F267" s="226"/>
      <c r="G267" s="188" t="s">
        <v>2949</v>
      </c>
      <c r="H267" s="229"/>
      <c r="I267" s="26">
        <v>18897667</v>
      </c>
      <c r="J267" s="26">
        <v>18025467</v>
      </c>
      <c r="K267" s="100">
        <f t="shared" si="2"/>
        <v>872200</v>
      </c>
    </row>
    <row r="268" spans="1:11" ht="15" customHeight="1">
      <c r="A268" s="27">
        <v>44435</v>
      </c>
      <c r="B268" s="157" t="s">
        <v>2603</v>
      </c>
      <c r="C268" s="28" t="s">
        <v>2930</v>
      </c>
      <c r="D268" s="28" t="s">
        <v>2931</v>
      </c>
      <c r="E268" s="228" t="s">
        <v>3005</v>
      </c>
      <c r="F268" s="226"/>
      <c r="G268" s="188" t="s">
        <v>310</v>
      </c>
      <c r="H268" s="229"/>
      <c r="I268" s="26">
        <v>10362880</v>
      </c>
      <c r="J268" s="26">
        <v>7379627</v>
      </c>
      <c r="K268" s="100">
        <f t="shared" si="2"/>
        <v>2983253</v>
      </c>
    </row>
    <row r="269" spans="1:11" ht="15" customHeight="1">
      <c r="A269" s="27">
        <v>44438</v>
      </c>
      <c r="B269" s="157" t="s">
        <v>2515</v>
      </c>
      <c r="C269" s="28" t="s">
        <v>2932</v>
      </c>
      <c r="D269" s="28" t="s">
        <v>2933</v>
      </c>
      <c r="E269" s="228" t="s">
        <v>3006</v>
      </c>
      <c r="F269" s="226"/>
      <c r="G269" s="188" t="s">
        <v>1012</v>
      </c>
      <c r="H269" s="229"/>
      <c r="I269" s="26">
        <v>18636800</v>
      </c>
      <c r="J269" s="26">
        <v>17346560</v>
      </c>
      <c r="K269" s="100">
        <f t="shared" si="2"/>
        <v>1290240</v>
      </c>
    </row>
    <row r="270" spans="1:11" ht="15" customHeight="1">
      <c r="A270" s="27">
        <v>44438</v>
      </c>
      <c r="B270" s="157" t="s">
        <v>2961</v>
      </c>
      <c r="C270" s="28" t="s">
        <v>889</v>
      </c>
      <c r="D270" s="28" t="s">
        <v>2934</v>
      </c>
      <c r="E270" s="228" t="s">
        <v>3007</v>
      </c>
      <c r="F270" s="226"/>
      <c r="G270" s="188" t="s">
        <v>42</v>
      </c>
      <c r="H270" s="229"/>
      <c r="I270" s="26">
        <v>115539</v>
      </c>
      <c r="J270" s="26">
        <v>115539</v>
      </c>
      <c r="K270" s="100">
        <f t="shared" si="2"/>
        <v>0</v>
      </c>
    </row>
    <row r="271" spans="1:11" ht="15" customHeight="1">
      <c r="A271" s="27">
        <v>44438</v>
      </c>
      <c r="B271" s="157" t="s">
        <v>2962</v>
      </c>
      <c r="C271" s="28" t="s">
        <v>889</v>
      </c>
      <c r="D271" s="28" t="s">
        <v>2935</v>
      </c>
      <c r="E271" s="228" t="s">
        <v>3008</v>
      </c>
      <c r="F271" s="226"/>
      <c r="G271" s="188" t="s">
        <v>42</v>
      </c>
      <c r="H271" s="229"/>
      <c r="I271" s="26">
        <v>56604</v>
      </c>
      <c r="J271" s="26">
        <v>56604</v>
      </c>
      <c r="K271" s="100">
        <f t="shared" si="2"/>
        <v>0</v>
      </c>
    </row>
    <row r="272" spans="1:11" ht="15" customHeight="1">
      <c r="A272" s="27">
        <v>44439</v>
      </c>
      <c r="B272" s="157" t="s">
        <v>2963</v>
      </c>
      <c r="C272" s="28" t="s">
        <v>889</v>
      </c>
      <c r="D272" s="28" t="s">
        <v>2936</v>
      </c>
      <c r="E272" s="228" t="s">
        <v>3009</v>
      </c>
      <c r="F272" s="226"/>
      <c r="G272" s="188" t="s">
        <v>294</v>
      </c>
      <c r="H272" s="229"/>
      <c r="I272" s="26">
        <v>181980</v>
      </c>
      <c r="J272" s="26">
        <v>181980</v>
      </c>
      <c r="K272" s="100">
        <f t="shared" si="2"/>
        <v>0</v>
      </c>
    </row>
    <row r="273" spans="1:11" ht="15" customHeight="1">
      <c r="A273" s="27">
        <v>44439</v>
      </c>
      <c r="B273" s="157" t="s">
        <v>2964</v>
      </c>
      <c r="C273" s="28" t="s">
        <v>889</v>
      </c>
      <c r="D273" s="28" t="s">
        <v>2937</v>
      </c>
      <c r="E273" s="228" t="s">
        <v>3010</v>
      </c>
      <c r="F273" s="226"/>
      <c r="G273" s="188" t="s">
        <v>43</v>
      </c>
      <c r="H273" s="229"/>
      <c r="I273" s="26">
        <v>395910</v>
      </c>
      <c r="J273" s="26">
        <v>395910</v>
      </c>
      <c r="K273" s="100">
        <f t="shared" si="2"/>
        <v>0</v>
      </c>
    </row>
    <row r="274" spans="1:11" ht="15" customHeight="1">
      <c r="A274" s="27">
        <v>44439</v>
      </c>
      <c r="B274" s="157" t="s">
        <v>2501</v>
      </c>
      <c r="C274" s="28" t="s">
        <v>2938</v>
      </c>
      <c r="D274" s="28" t="s">
        <v>2939</v>
      </c>
      <c r="E274" s="228" t="s">
        <v>3011</v>
      </c>
      <c r="F274" s="226"/>
      <c r="G274" s="188" t="s">
        <v>2950</v>
      </c>
      <c r="H274" s="229"/>
      <c r="I274" s="26">
        <v>17600000</v>
      </c>
      <c r="J274" s="26">
        <v>17453333</v>
      </c>
      <c r="K274" s="100">
        <f t="shared" si="2"/>
        <v>146667</v>
      </c>
    </row>
    <row r="275" spans="1:11" ht="15" customHeight="1">
      <c r="A275" s="27">
        <v>44439</v>
      </c>
      <c r="B275" s="157" t="s">
        <v>2965</v>
      </c>
      <c r="C275" s="28" t="s">
        <v>889</v>
      </c>
      <c r="D275" s="28" t="s">
        <v>2940</v>
      </c>
      <c r="E275" s="228" t="s">
        <v>3012</v>
      </c>
      <c r="F275" s="226"/>
      <c r="G275" s="188" t="s">
        <v>42</v>
      </c>
      <c r="H275" s="229"/>
      <c r="I275" s="26">
        <v>43092</v>
      </c>
      <c r="J275" s="26">
        <v>43092</v>
      </c>
      <c r="K275" s="100">
        <f t="shared" si="2"/>
        <v>0</v>
      </c>
    </row>
    <row r="276" spans="1:11" ht="15" customHeight="1">
      <c r="A276" s="27">
        <v>44439</v>
      </c>
      <c r="B276" s="157" t="s">
        <v>2770</v>
      </c>
      <c r="C276" s="28" t="s">
        <v>2941</v>
      </c>
      <c r="D276" s="28" t="s">
        <v>2942</v>
      </c>
      <c r="E276" s="228" t="s">
        <v>3013</v>
      </c>
      <c r="F276" s="226"/>
      <c r="G276" s="188" t="s">
        <v>2951</v>
      </c>
      <c r="H276" s="229"/>
      <c r="I276" s="26">
        <v>18461566</v>
      </c>
      <c r="J276" s="26">
        <v>17444000</v>
      </c>
      <c r="K276" s="100">
        <f t="shared" si="2"/>
        <v>1017566</v>
      </c>
    </row>
    <row r="277" spans="1:11" ht="15" customHeight="1">
      <c r="A277" s="27">
        <v>44440</v>
      </c>
      <c r="B277" s="157">
        <v>1203</v>
      </c>
      <c r="C277" s="28">
        <v>1472</v>
      </c>
      <c r="D277" s="28">
        <v>1612</v>
      </c>
      <c r="E277" s="228" t="s">
        <v>3309</v>
      </c>
      <c r="F277" s="226"/>
      <c r="G277" s="188" t="s">
        <v>3293</v>
      </c>
      <c r="H277" s="229"/>
      <c r="I277" s="26">
        <v>24576000</v>
      </c>
      <c r="J277" s="26">
        <v>24576000</v>
      </c>
      <c r="K277" s="100">
        <f t="shared" si="2"/>
        <v>0</v>
      </c>
    </row>
    <row r="278" spans="1:11" ht="15" customHeight="1">
      <c r="A278" s="27">
        <v>44440</v>
      </c>
      <c r="B278" s="157">
        <v>1202</v>
      </c>
      <c r="C278" s="28">
        <v>1479</v>
      </c>
      <c r="D278" s="28">
        <v>1613</v>
      </c>
      <c r="E278" s="228" t="s">
        <v>3310</v>
      </c>
      <c r="F278" s="226"/>
      <c r="G278" s="188" t="s">
        <v>3294</v>
      </c>
      <c r="H278" s="229"/>
      <c r="I278" s="26">
        <v>20666667</v>
      </c>
      <c r="J278" s="26">
        <v>20000000</v>
      </c>
      <c r="K278" s="100">
        <f t="shared" si="2"/>
        <v>666667</v>
      </c>
    </row>
    <row r="279" spans="1:11" ht="15" customHeight="1">
      <c r="A279" s="27">
        <v>44440</v>
      </c>
      <c r="B279" s="157">
        <v>1198</v>
      </c>
      <c r="C279" s="28">
        <v>1452</v>
      </c>
      <c r="D279" s="28">
        <v>1623</v>
      </c>
      <c r="E279" s="228" t="s">
        <v>3311</v>
      </c>
      <c r="F279" s="226"/>
      <c r="G279" s="188" t="s">
        <v>3295</v>
      </c>
      <c r="H279" s="229"/>
      <c r="I279" s="26">
        <f>19066667-1466667</f>
        <v>17600000</v>
      </c>
      <c r="J279" s="26">
        <v>17600000</v>
      </c>
      <c r="K279" s="100">
        <f t="shared" si="2"/>
        <v>0</v>
      </c>
    </row>
    <row r="280" spans="1:11" ht="15" customHeight="1">
      <c r="A280" s="27">
        <v>44440</v>
      </c>
      <c r="B280" s="157">
        <v>1208</v>
      </c>
      <c r="C280" s="28">
        <v>1482</v>
      </c>
      <c r="D280" s="28">
        <v>1627</v>
      </c>
      <c r="E280" s="228" t="s">
        <v>3312</v>
      </c>
      <c r="F280" s="226"/>
      <c r="G280" s="188" t="s">
        <v>1027</v>
      </c>
      <c r="H280" s="229"/>
      <c r="I280" s="26">
        <v>15200000</v>
      </c>
      <c r="J280" s="26">
        <v>15200000</v>
      </c>
      <c r="K280" s="100">
        <f t="shared" si="2"/>
        <v>0</v>
      </c>
    </row>
    <row r="281" spans="1:11" ht="15" customHeight="1">
      <c r="A281" s="27">
        <v>44441</v>
      </c>
      <c r="B281" s="157">
        <v>1197</v>
      </c>
      <c r="C281" s="28">
        <v>1480</v>
      </c>
      <c r="D281" s="28">
        <v>1629</v>
      </c>
      <c r="E281" s="228" t="s">
        <v>3313</v>
      </c>
      <c r="F281" s="226"/>
      <c r="G281" s="188" t="s">
        <v>3296</v>
      </c>
      <c r="H281" s="229"/>
      <c r="I281" s="26">
        <v>24800000</v>
      </c>
      <c r="J281" s="26">
        <v>23600000</v>
      </c>
      <c r="K281" s="100">
        <f t="shared" si="2"/>
        <v>1200000</v>
      </c>
    </row>
    <row r="282" spans="1:11" ht="15" customHeight="1">
      <c r="A282" s="27">
        <v>44442</v>
      </c>
      <c r="B282" s="157">
        <v>6482258325</v>
      </c>
      <c r="C282" s="28">
        <v>242</v>
      </c>
      <c r="D282" s="28">
        <v>1634</v>
      </c>
      <c r="E282" s="228" t="s">
        <v>3314</v>
      </c>
      <c r="F282" s="226"/>
      <c r="G282" s="188" t="s">
        <v>294</v>
      </c>
      <c r="H282" s="229"/>
      <c r="I282" s="26">
        <v>192880</v>
      </c>
      <c r="J282" s="26">
        <v>192880</v>
      </c>
      <c r="K282" s="100">
        <f t="shared" si="2"/>
        <v>0</v>
      </c>
    </row>
    <row r="283" spans="1:11" ht="15" customHeight="1">
      <c r="A283" s="27">
        <v>44442</v>
      </c>
      <c r="B283" s="157">
        <v>648225832</v>
      </c>
      <c r="C283" s="28">
        <v>242</v>
      </c>
      <c r="D283" s="28">
        <v>1635</v>
      </c>
      <c r="E283" s="228" t="s">
        <v>3315</v>
      </c>
      <c r="F283" s="226"/>
      <c r="G283" s="188" t="s">
        <v>43</v>
      </c>
      <c r="H283" s="229"/>
      <c r="I283" s="26">
        <v>44860</v>
      </c>
      <c r="J283" s="26">
        <v>44860</v>
      </c>
      <c r="K283" s="100">
        <f t="shared" si="2"/>
        <v>0</v>
      </c>
    </row>
    <row r="284" spans="1:11" ht="15" customHeight="1">
      <c r="A284" s="27">
        <v>44446</v>
      </c>
      <c r="B284" s="157">
        <v>53182849</v>
      </c>
      <c r="C284" s="28">
        <v>1104</v>
      </c>
      <c r="D284" s="28">
        <v>1648</v>
      </c>
      <c r="E284" s="228" t="s">
        <v>3316</v>
      </c>
      <c r="F284" s="226"/>
      <c r="G284" s="188" t="s">
        <v>1165</v>
      </c>
      <c r="H284" s="229"/>
      <c r="I284" s="26">
        <v>3017270</v>
      </c>
      <c r="J284" s="26">
        <v>3017270</v>
      </c>
      <c r="K284" s="100">
        <f t="shared" si="2"/>
        <v>0</v>
      </c>
    </row>
    <row r="285" spans="1:11" ht="15" customHeight="1">
      <c r="A285" s="27">
        <v>44448</v>
      </c>
      <c r="B285" s="157">
        <v>1226</v>
      </c>
      <c r="C285" s="28">
        <v>1499</v>
      </c>
      <c r="D285" s="28">
        <v>1667</v>
      </c>
      <c r="E285" s="228" t="s">
        <v>3292</v>
      </c>
      <c r="F285" s="226"/>
      <c r="G285" s="188" t="s">
        <v>3297</v>
      </c>
      <c r="H285" s="229"/>
      <c r="I285" s="26">
        <v>17153267</v>
      </c>
      <c r="J285" s="26">
        <v>16135700</v>
      </c>
      <c r="K285" s="100">
        <f t="shared" si="2"/>
        <v>1017567</v>
      </c>
    </row>
    <row r="286" spans="1:11" ht="15" customHeight="1">
      <c r="A286" s="27">
        <v>44448</v>
      </c>
      <c r="B286" s="157">
        <v>1222</v>
      </c>
      <c r="C286" s="28">
        <v>1518</v>
      </c>
      <c r="D286" s="28">
        <v>1671</v>
      </c>
      <c r="E286" s="228" t="s">
        <v>3317</v>
      </c>
      <c r="F286" s="226"/>
      <c r="G286" s="188" t="s">
        <v>1011</v>
      </c>
      <c r="H286" s="229"/>
      <c r="I286" s="26">
        <f>14992794-263032</f>
        <v>14729762</v>
      </c>
      <c r="J286" s="26">
        <v>14729762</v>
      </c>
      <c r="K286" s="100">
        <f t="shared" si="2"/>
        <v>0</v>
      </c>
    </row>
    <row r="287" spans="1:11" ht="15" customHeight="1">
      <c r="A287" s="27">
        <v>44449</v>
      </c>
      <c r="B287" s="157">
        <v>605</v>
      </c>
      <c r="C287" s="28">
        <v>1544</v>
      </c>
      <c r="D287" s="28">
        <v>1681</v>
      </c>
      <c r="E287" s="228" t="s">
        <v>3318</v>
      </c>
      <c r="F287" s="226"/>
      <c r="G287" s="188" t="s">
        <v>3298</v>
      </c>
      <c r="H287" s="229"/>
      <c r="I287" s="26">
        <v>12600000</v>
      </c>
      <c r="J287" s="26">
        <v>12040000</v>
      </c>
      <c r="K287" s="100">
        <f t="shared" si="2"/>
        <v>560000</v>
      </c>
    </row>
    <row r="288" spans="1:11" ht="15" customHeight="1">
      <c r="A288" s="27">
        <v>44449</v>
      </c>
      <c r="B288" s="157">
        <v>1225</v>
      </c>
      <c r="C288" s="28">
        <v>1516</v>
      </c>
      <c r="D288" s="28">
        <v>1683</v>
      </c>
      <c r="E288" s="228" t="s">
        <v>2477</v>
      </c>
      <c r="F288" s="226"/>
      <c r="G288" s="188" t="s">
        <v>3299</v>
      </c>
      <c r="H288" s="229"/>
      <c r="I288" s="26">
        <v>16053333</v>
      </c>
      <c r="J288" s="26">
        <v>15480000</v>
      </c>
      <c r="K288" s="100">
        <f t="shared" si="2"/>
        <v>573333</v>
      </c>
    </row>
    <row r="289" spans="1:11" ht="15" customHeight="1">
      <c r="A289" s="27">
        <v>44453</v>
      </c>
      <c r="B289" s="157">
        <v>1238</v>
      </c>
      <c r="C289" s="28">
        <v>1549</v>
      </c>
      <c r="D289" s="28">
        <v>1687</v>
      </c>
      <c r="E289" s="228" t="s">
        <v>3319</v>
      </c>
      <c r="F289" s="226"/>
      <c r="G289" s="188" t="s">
        <v>3300</v>
      </c>
      <c r="H289" s="229"/>
      <c r="I289" s="26">
        <f>18773333-512000</f>
        <v>18261333</v>
      </c>
      <c r="J289" s="26">
        <v>18261333</v>
      </c>
      <c r="K289" s="100">
        <f t="shared" si="2"/>
        <v>0</v>
      </c>
    </row>
    <row r="290" spans="1:11" ht="15" customHeight="1">
      <c r="A290" s="27">
        <v>44454</v>
      </c>
      <c r="B290" s="157">
        <v>6493185811</v>
      </c>
      <c r="C290" s="28">
        <v>242</v>
      </c>
      <c r="D290" s="28">
        <v>1690</v>
      </c>
      <c r="E290" s="228" t="s">
        <v>3320</v>
      </c>
      <c r="F290" s="226"/>
      <c r="G290" s="188" t="s">
        <v>294</v>
      </c>
      <c r="H290" s="229"/>
      <c r="I290" s="26">
        <v>210260</v>
      </c>
      <c r="J290" s="26">
        <v>210260</v>
      </c>
      <c r="K290" s="100">
        <f t="shared" si="2"/>
        <v>0</v>
      </c>
    </row>
    <row r="291" spans="1:11" ht="15" customHeight="1">
      <c r="A291" s="27">
        <v>44454</v>
      </c>
      <c r="B291" s="157">
        <v>649318581</v>
      </c>
      <c r="C291" s="28">
        <v>242</v>
      </c>
      <c r="D291" s="28">
        <v>1691</v>
      </c>
      <c r="E291" s="228" t="s">
        <v>3321</v>
      </c>
      <c r="F291" s="226"/>
      <c r="G291" s="188" t="s">
        <v>43</v>
      </c>
      <c r="H291" s="229"/>
      <c r="I291" s="26">
        <v>31490</v>
      </c>
      <c r="J291" s="26">
        <v>31490</v>
      </c>
      <c r="K291" s="100">
        <f t="shared" si="2"/>
        <v>0</v>
      </c>
    </row>
    <row r="292" spans="1:11" ht="15" customHeight="1">
      <c r="A292" s="27">
        <v>44455</v>
      </c>
      <c r="B292" s="157">
        <v>623</v>
      </c>
      <c r="C292" s="28">
        <v>1543</v>
      </c>
      <c r="D292" s="28">
        <v>1697</v>
      </c>
      <c r="E292" s="228" t="s">
        <v>3322</v>
      </c>
      <c r="F292" s="226"/>
      <c r="G292" s="188" t="s">
        <v>1521</v>
      </c>
      <c r="H292" s="229"/>
      <c r="I292" s="26">
        <v>13083000</v>
      </c>
      <c r="J292" s="26">
        <v>13083000</v>
      </c>
      <c r="K292" s="100">
        <f t="shared" si="2"/>
        <v>0</v>
      </c>
    </row>
    <row r="293" spans="1:11" ht="15" customHeight="1">
      <c r="A293" s="27">
        <v>44459</v>
      </c>
      <c r="B293" s="157">
        <v>1243</v>
      </c>
      <c r="C293" s="28">
        <v>1569</v>
      </c>
      <c r="D293" s="28">
        <v>1706</v>
      </c>
      <c r="E293" s="228" t="s">
        <v>3323</v>
      </c>
      <c r="F293" s="226"/>
      <c r="G293" s="188" t="s">
        <v>3301</v>
      </c>
      <c r="H293" s="229"/>
      <c r="I293" s="26">
        <v>15990333</v>
      </c>
      <c r="J293" s="26">
        <v>5960033</v>
      </c>
      <c r="K293" s="100">
        <f t="shared" si="2"/>
        <v>10030300</v>
      </c>
    </row>
    <row r="294" spans="1:11" ht="15" customHeight="1">
      <c r="A294" s="27">
        <v>44459</v>
      </c>
      <c r="B294" s="157">
        <v>1248</v>
      </c>
      <c r="C294" s="28">
        <v>1576</v>
      </c>
      <c r="D294" s="28">
        <v>1713</v>
      </c>
      <c r="E294" s="228" t="s">
        <v>3324</v>
      </c>
      <c r="F294" s="226"/>
      <c r="G294" s="188" t="s">
        <v>1653</v>
      </c>
      <c r="H294" s="229"/>
      <c r="I294" s="26">
        <v>21200000</v>
      </c>
      <c r="J294" s="26">
        <v>20000000</v>
      </c>
      <c r="K294" s="100">
        <f t="shared" si="2"/>
        <v>1200000</v>
      </c>
    </row>
    <row r="295" spans="1:11" ht="15" customHeight="1">
      <c r="A295" s="27">
        <v>44460</v>
      </c>
      <c r="B295" s="157">
        <v>1250</v>
      </c>
      <c r="C295" s="28">
        <v>1552</v>
      </c>
      <c r="D295" s="28">
        <v>1714</v>
      </c>
      <c r="E295" s="228" t="s">
        <v>2992</v>
      </c>
      <c r="F295" s="226"/>
      <c r="G295" s="188" t="s">
        <v>1517</v>
      </c>
      <c r="H295" s="229"/>
      <c r="I295" s="26">
        <v>15990333</v>
      </c>
      <c r="J295" s="26">
        <v>14536666</v>
      </c>
      <c r="K295" s="100">
        <f t="shared" si="2"/>
        <v>1453667</v>
      </c>
    </row>
    <row r="296" spans="1:11" ht="15" customHeight="1">
      <c r="A296" s="27">
        <v>44460</v>
      </c>
      <c r="B296" s="157">
        <v>1255</v>
      </c>
      <c r="C296" s="28">
        <v>1558</v>
      </c>
      <c r="D296" s="28">
        <v>1720</v>
      </c>
      <c r="E296" s="228" t="s">
        <v>3325</v>
      </c>
      <c r="F296" s="226"/>
      <c r="G296" s="188" t="s">
        <v>1041</v>
      </c>
      <c r="H296" s="229"/>
      <c r="I296" s="26">
        <v>15769600</v>
      </c>
      <c r="J296" s="26">
        <v>14336000</v>
      </c>
      <c r="K296" s="100">
        <f t="shared" si="2"/>
        <v>1433600</v>
      </c>
    </row>
    <row r="297" spans="1:11" ht="15" customHeight="1">
      <c r="A297" s="27">
        <v>44460</v>
      </c>
      <c r="B297" s="157">
        <v>1257</v>
      </c>
      <c r="C297" s="28">
        <v>1574</v>
      </c>
      <c r="D297" s="28">
        <v>1725</v>
      </c>
      <c r="E297" s="228" t="s">
        <v>2992</v>
      </c>
      <c r="F297" s="226"/>
      <c r="G297" s="188" t="s">
        <v>1514</v>
      </c>
      <c r="H297" s="229"/>
      <c r="I297" s="26">
        <v>15408867</v>
      </c>
      <c r="J297" s="26">
        <v>14391300</v>
      </c>
      <c r="K297" s="100">
        <f t="shared" si="2"/>
        <v>1017567</v>
      </c>
    </row>
    <row r="298" spans="1:11" ht="15" customHeight="1">
      <c r="A298" s="27">
        <v>44461</v>
      </c>
      <c r="B298" s="157">
        <v>690</v>
      </c>
      <c r="C298" s="28">
        <v>1587</v>
      </c>
      <c r="D298" s="28">
        <v>1738</v>
      </c>
      <c r="E298" s="228" t="s">
        <v>3326</v>
      </c>
      <c r="F298" s="226"/>
      <c r="G298" s="188" t="s">
        <v>1757</v>
      </c>
      <c r="H298" s="229"/>
      <c r="I298" s="26">
        <v>15000000</v>
      </c>
      <c r="J298" s="26">
        <v>15000000</v>
      </c>
      <c r="K298" s="100">
        <f t="shared" si="2"/>
        <v>0</v>
      </c>
    </row>
    <row r="299" spans="1:11" ht="15" customHeight="1">
      <c r="A299" s="27">
        <v>44462</v>
      </c>
      <c r="B299" s="157">
        <v>1261</v>
      </c>
      <c r="C299" s="28">
        <v>1581</v>
      </c>
      <c r="D299" s="28">
        <v>1744</v>
      </c>
      <c r="E299" s="228" t="s">
        <v>3327</v>
      </c>
      <c r="F299" s="226"/>
      <c r="G299" s="188" t="s">
        <v>3302</v>
      </c>
      <c r="H299" s="229"/>
      <c r="I299" s="26">
        <v>15150000</v>
      </c>
      <c r="J299" s="26">
        <v>14550000</v>
      </c>
      <c r="K299" s="100">
        <f t="shared" si="2"/>
        <v>600000</v>
      </c>
    </row>
    <row r="300" spans="1:11" ht="15" customHeight="1">
      <c r="A300" s="27">
        <v>44462</v>
      </c>
      <c r="B300" s="157">
        <v>1260</v>
      </c>
      <c r="C300" s="28">
        <v>1590</v>
      </c>
      <c r="D300" s="28">
        <v>1745</v>
      </c>
      <c r="E300" s="228" t="s">
        <v>3328</v>
      </c>
      <c r="F300" s="226"/>
      <c r="G300" s="188" t="s">
        <v>1048</v>
      </c>
      <c r="H300" s="229"/>
      <c r="I300" s="26">
        <v>14100567</v>
      </c>
      <c r="J300" s="26">
        <v>13373733</v>
      </c>
      <c r="K300" s="100">
        <f t="shared" si="2"/>
        <v>726834</v>
      </c>
    </row>
    <row r="301" spans="1:11" ht="15" customHeight="1">
      <c r="A301" s="27">
        <v>44462</v>
      </c>
      <c r="B301" s="157">
        <v>1262</v>
      </c>
      <c r="C301" s="28">
        <v>1594</v>
      </c>
      <c r="D301" s="28">
        <v>1750</v>
      </c>
      <c r="E301" s="228" t="s">
        <v>3329</v>
      </c>
      <c r="F301" s="226"/>
      <c r="G301" s="188" t="s">
        <v>3303</v>
      </c>
      <c r="H301" s="229"/>
      <c r="I301" s="26">
        <v>20800000</v>
      </c>
      <c r="J301" s="26">
        <v>19400000</v>
      </c>
      <c r="K301" s="100">
        <f t="shared" si="2"/>
        <v>1400000</v>
      </c>
    </row>
    <row r="302" spans="1:11" ht="15" customHeight="1">
      <c r="A302" s="27">
        <v>44463</v>
      </c>
      <c r="B302" s="157">
        <v>1263</v>
      </c>
      <c r="C302" s="28">
        <v>1591</v>
      </c>
      <c r="D302" s="28">
        <v>1755</v>
      </c>
      <c r="E302" s="228" t="s">
        <v>3330</v>
      </c>
      <c r="F302" s="226"/>
      <c r="G302" s="188" t="s">
        <v>3304</v>
      </c>
      <c r="H302" s="229"/>
      <c r="I302" s="26">
        <v>20200000</v>
      </c>
      <c r="J302" s="26">
        <v>18800000</v>
      </c>
      <c r="K302" s="100">
        <f t="shared" si="2"/>
        <v>1400000</v>
      </c>
    </row>
    <row r="303" spans="1:11" ht="15" customHeight="1">
      <c r="A303" s="27">
        <v>44463</v>
      </c>
      <c r="B303" s="157">
        <v>1264</v>
      </c>
      <c r="C303" s="28">
        <v>1592</v>
      </c>
      <c r="D303" s="28">
        <v>1757</v>
      </c>
      <c r="E303" s="228" t="s">
        <v>3329</v>
      </c>
      <c r="F303" s="226"/>
      <c r="G303" s="188" t="s">
        <v>3305</v>
      </c>
      <c r="H303" s="229"/>
      <c r="I303" s="26">
        <v>20200000</v>
      </c>
      <c r="J303" s="26">
        <v>12800000</v>
      </c>
      <c r="K303" s="100">
        <f t="shared" si="2"/>
        <v>7400000</v>
      </c>
    </row>
    <row r="304" spans="1:11" ht="15" customHeight="1">
      <c r="A304" s="27">
        <v>44463</v>
      </c>
      <c r="B304" s="157">
        <v>1265</v>
      </c>
      <c r="C304" s="28">
        <v>1593</v>
      </c>
      <c r="D304" s="28">
        <v>1758</v>
      </c>
      <c r="E304" s="228" t="s">
        <v>2992</v>
      </c>
      <c r="F304" s="226"/>
      <c r="G304" s="188" t="s">
        <v>3306</v>
      </c>
      <c r="H304" s="229"/>
      <c r="I304" s="26">
        <v>13466667</v>
      </c>
      <c r="J304" s="26">
        <v>12533333</v>
      </c>
      <c r="K304" s="100">
        <f t="shared" si="2"/>
        <v>933334</v>
      </c>
    </row>
    <row r="305" spans="1:11" ht="15" customHeight="1">
      <c r="A305" s="27">
        <v>44467</v>
      </c>
      <c r="B305" s="157">
        <v>1267</v>
      </c>
      <c r="C305" s="28">
        <v>1588</v>
      </c>
      <c r="D305" s="28">
        <v>1772</v>
      </c>
      <c r="E305" s="228" t="s">
        <v>2992</v>
      </c>
      <c r="F305" s="226"/>
      <c r="G305" s="188" t="s">
        <v>1518</v>
      </c>
      <c r="H305" s="229"/>
      <c r="I305" s="26">
        <v>21200000</v>
      </c>
      <c r="J305" s="26">
        <v>12600000</v>
      </c>
      <c r="K305" s="100">
        <f t="shared" si="2"/>
        <v>8600000</v>
      </c>
    </row>
    <row r="306" spans="1:11" ht="15" customHeight="1">
      <c r="A306" s="27">
        <v>44467</v>
      </c>
      <c r="B306" s="157">
        <v>1271</v>
      </c>
      <c r="C306" s="28">
        <v>1609</v>
      </c>
      <c r="D306" s="28">
        <v>1773</v>
      </c>
      <c r="E306" s="228" t="s">
        <v>3331</v>
      </c>
      <c r="F306" s="226"/>
      <c r="G306" s="188" t="s">
        <v>3307</v>
      </c>
      <c r="H306" s="229"/>
      <c r="I306" s="26">
        <v>16384000</v>
      </c>
      <c r="J306" s="26">
        <v>15701333</v>
      </c>
      <c r="K306" s="100">
        <f t="shared" si="2"/>
        <v>682667</v>
      </c>
    </row>
    <row r="307" spans="1:11" ht="15" customHeight="1">
      <c r="A307" s="27">
        <v>44467</v>
      </c>
      <c r="B307" s="157">
        <v>1270</v>
      </c>
      <c r="C307" s="28">
        <v>1604</v>
      </c>
      <c r="D307" s="28">
        <v>1774</v>
      </c>
      <c r="E307" s="228" t="s">
        <v>1474</v>
      </c>
      <c r="F307" s="226"/>
      <c r="G307" s="188" t="s">
        <v>1519</v>
      </c>
      <c r="H307" s="229"/>
      <c r="I307" s="26">
        <v>8721067</v>
      </c>
      <c r="J307" s="26">
        <v>7936171</v>
      </c>
      <c r="K307" s="100">
        <f t="shared" si="2"/>
        <v>784896</v>
      </c>
    </row>
    <row r="308" spans="1:11" ht="15" customHeight="1">
      <c r="A308" s="27">
        <v>44467</v>
      </c>
      <c r="B308" s="157">
        <v>1268</v>
      </c>
      <c r="C308" s="28">
        <v>1603</v>
      </c>
      <c r="D308" s="28">
        <v>1777</v>
      </c>
      <c r="E308" s="228" t="s">
        <v>3331</v>
      </c>
      <c r="F308" s="226"/>
      <c r="G308" s="188" t="s">
        <v>3308</v>
      </c>
      <c r="H308" s="229"/>
      <c r="I308" s="26">
        <v>16384000</v>
      </c>
      <c r="J308" s="26">
        <v>15530666</v>
      </c>
      <c r="K308" s="100">
        <f t="shared" si="2"/>
        <v>853334</v>
      </c>
    </row>
    <row r="309" spans="1:11" ht="15" customHeight="1">
      <c r="A309" s="27">
        <v>44469</v>
      </c>
      <c r="B309" s="157">
        <v>6512940709</v>
      </c>
      <c r="C309" s="28">
        <v>242</v>
      </c>
      <c r="D309" s="28">
        <v>1784</v>
      </c>
      <c r="E309" s="228" t="s">
        <v>3332</v>
      </c>
      <c r="F309" s="226"/>
      <c r="G309" s="188" t="s">
        <v>294</v>
      </c>
      <c r="H309" s="229"/>
      <c r="I309" s="26">
        <v>154170</v>
      </c>
      <c r="J309" s="26">
        <v>154170</v>
      </c>
      <c r="K309" s="100">
        <f t="shared" si="2"/>
        <v>0</v>
      </c>
    </row>
    <row r="310" spans="1:11" ht="15" customHeight="1">
      <c r="A310" s="27">
        <v>44469</v>
      </c>
      <c r="B310" s="157">
        <v>651294067</v>
      </c>
      <c r="C310" s="28">
        <v>242</v>
      </c>
      <c r="D310" s="28">
        <v>1785</v>
      </c>
      <c r="E310" s="228" t="s">
        <v>3333</v>
      </c>
      <c r="F310" s="226"/>
      <c r="G310" s="188" t="s">
        <v>43</v>
      </c>
      <c r="H310" s="229"/>
      <c r="I310" s="26">
        <v>415240</v>
      </c>
      <c r="J310" s="26">
        <v>415240</v>
      </c>
      <c r="K310" s="100">
        <f t="shared" si="2"/>
        <v>0</v>
      </c>
    </row>
    <row r="311" spans="1:11" ht="15" customHeight="1">
      <c r="A311" s="166">
        <v>44470</v>
      </c>
      <c r="B311" s="157" t="s">
        <v>2630</v>
      </c>
      <c r="C311" s="28" t="s">
        <v>3465</v>
      </c>
      <c r="D311" s="168" t="s">
        <v>3466</v>
      </c>
      <c r="E311" s="228" t="s">
        <v>3444</v>
      </c>
      <c r="F311" s="226"/>
      <c r="G311" s="188" t="s">
        <v>3434</v>
      </c>
      <c r="H311" s="229"/>
      <c r="I311" s="26">
        <v>5400000</v>
      </c>
      <c r="J311" s="26">
        <v>5400000</v>
      </c>
      <c r="K311" s="100">
        <f t="shared" si="2"/>
        <v>0</v>
      </c>
    </row>
    <row r="312" spans="1:11" ht="15" customHeight="1">
      <c r="A312" s="166">
        <v>44474</v>
      </c>
      <c r="B312" s="157" t="s">
        <v>2421</v>
      </c>
      <c r="C312" s="28" t="s">
        <v>3467</v>
      </c>
      <c r="D312" s="168" t="s">
        <v>3468</v>
      </c>
      <c r="E312" s="228" t="s">
        <v>3445</v>
      </c>
      <c r="F312" s="226"/>
      <c r="G312" s="188" t="s">
        <v>3435</v>
      </c>
      <c r="H312" s="229"/>
      <c r="I312" s="26">
        <v>13500000</v>
      </c>
      <c r="J312" s="26">
        <v>12450000</v>
      </c>
      <c r="K312" s="100">
        <f t="shared" si="3" ref="K312:K375">+I312-J312</f>
        <v>1050000</v>
      </c>
    </row>
    <row r="313" spans="1:11" ht="15" customHeight="1">
      <c r="A313" s="166">
        <v>44474</v>
      </c>
      <c r="B313" s="157" t="s">
        <v>962</v>
      </c>
      <c r="C313" s="28" t="s">
        <v>3469</v>
      </c>
      <c r="D313" s="168" t="s">
        <v>3470</v>
      </c>
      <c r="E313" s="228" t="s">
        <v>3446</v>
      </c>
      <c r="F313" s="226"/>
      <c r="G313" s="188" t="s">
        <v>1754</v>
      </c>
      <c r="H313" s="229"/>
      <c r="I313" s="26">
        <v>6848400</v>
      </c>
      <c r="J313" s="26">
        <v>6848400</v>
      </c>
      <c r="K313" s="100">
        <f t="shared" si="3"/>
        <v>0</v>
      </c>
    </row>
    <row r="314" spans="1:11" ht="15" customHeight="1">
      <c r="A314" s="166">
        <v>44475</v>
      </c>
      <c r="B314" s="157" t="s">
        <v>1576</v>
      </c>
      <c r="C314" s="28" t="s">
        <v>3471</v>
      </c>
      <c r="D314" s="168" t="s">
        <v>3472</v>
      </c>
      <c r="E314" s="228" t="s">
        <v>3447</v>
      </c>
      <c r="F314" s="226"/>
      <c r="G314" s="188" t="s">
        <v>1759</v>
      </c>
      <c r="H314" s="229"/>
      <c r="I314" s="26">
        <v>11000000</v>
      </c>
      <c r="J314" s="26">
        <v>11000000</v>
      </c>
      <c r="K314" s="100">
        <f t="shared" si="3"/>
        <v>0</v>
      </c>
    </row>
    <row r="315" spans="1:11" ht="15" customHeight="1">
      <c r="A315" s="166">
        <v>44475</v>
      </c>
      <c r="B315" s="157" t="s">
        <v>3503</v>
      </c>
      <c r="C315" s="28" t="s">
        <v>2347</v>
      </c>
      <c r="D315" s="168" t="s">
        <v>3473</v>
      </c>
      <c r="E315" s="228" t="s">
        <v>3448</v>
      </c>
      <c r="F315" s="226"/>
      <c r="G315" s="188" t="s">
        <v>1165</v>
      </c>
      <c r="H315" s="229"/>
      <c r="I315" s="26">
        <v>4473077</v>
      </c>
      <c r="J315" s="26">
        <v>4473077</v>
      </c>
      <c r="K315" s="100">
        <f t="shared" si="3"/>
        <v>0</v>
      </c>
    </row>
    <row r="316" spans="1:11" ht="15" customHeight="1">
      <c r="A316" s="166">
        <v>44475</v>
      </c>
      <c r="B316" s="157" t="s">
        <v>1191</v>
      </c>
      <c r="C316" s="28" t="s">
        <v>3474</v>
      </c>
      <c r="D316" s="168" t="s">
        <v>3475</v>
      </c>
      <c r="E316" s="228" t="s">
        <v>3449</v>
      </c>
      <c r="F316" s="226"/>
      <c r="G316" s="188" t="s">
        <v>1751</v>
      </c>
      <c r="H316" s="229"/>
      <c r="I316" s="26">
        <v>22666667</v>
      </c>
      <c r="J316" s="26">
        <v>22400000</v>
      </c>
      <c r="K316" s="100">
        <f t="shared" si="3"/>
        <v>266667</v>
      </c>
    </row>
    <row r="317" spans="1:11" ht="15" customHeight="1">
      <c r="A317" s="166">
        <v>44476</v>
      </c>
      <c r="B317" s="157" t="s">
        <v>1192</v>
      </c>
      <c r="C317" s="28" t="s">
        <v>3476</v>
      </c>
      <c r="D317" s="168" t="s">
        <v>3477</v>
      </c>
      <c r="E317" s="228" t="s">
        <v>3450</v>
      </c>
      <c r="F317" s="226"/>
      <c r="G317" s="188" t="s">
        <v>1753</v>
      </c>
      <c r="H317" s="229"/>
      <c r="I317" s="26">
        <v>13956667</v>
      </c>
      <c r="J317" s="26">
        <v>8656667</v>
      </c>
      <c r="K317" s="100">
        <f t="shared" si="3"/>
        <v>5300000</v>
      </c>
    </row>
    <row r="318" spans="1:11" ht="15" customHeight="1">
      <c r="A318" s="166">
        <v>44476</v>
      </c>
      <c r="B318" s="157" t="s">
        <v>1734</v>
      </c>
      <c r="C318" s="28" t="s">
        <v>3478</v>
      </c>
      <c r="D318" s="168" t="s">
        <v>3479</v>
      </c>
      <c r="E318" s="228" t="s">
        <v>3451</v>
      </c>
      <c r="F318" s="226"/>
      <c r="G318" s="188" t="s">
        <v>2238</v>
      </c>
      <c r="H318" s="229"/>
      <c r="I318" s="26">
        <v>910000</v>
      </c>
      <c r="J318" s="26">
        <v>910000</v>
      </c>
      <c r="K318" s="100">
        <f t="shared" si="3"/>
        <v>0</v>
      </c>
    </row>
    <row r="319" spans="1:11" ht="15" customHeight="1">
      <c r="A319" s="166">
        <v>44476</v>
      </c>
      <c r="B319" s="157" t="s">
        <v>1735</v>
      </c>
      <c r="C319" s="28" t="s">
        <v>3480</v>
      </c>
      <c r="D319" s="168" t="s">
        <v>3481</v>
      </c>
      <c r="E319" s="228" t="s">
        <v>3452</v>
      </c>
      <c r="F319" s="226"/>
      <c r="G319" s="188" t="s">
        <v>2240</v>
      </c>
      <c r="H319" s="229"/>
      <c r="I319" s="26">
        <v>910000</v>
      </c>
      <c r="J319" s="26">
        <v>910000</v>
      </c>
      <c r="K319" s="100">
        <f t="shared" si="3"/>
        <v>0</v>
      </c>
    </row>
    <row r="320" spans="1:11" ht="15" customHeight="1">
      <c r="A320" s="166">
        <v>44481</v>
      </c>
      <c r="B320" s="157" t="s">
        <v>2528</v>
      </c>
      <c r="C320" s="28" t="s">
        <v>3482</v>
      </c>
      <c r="D320" s="168" t="s">
        <v>3483</v>
      </c>
      <c r="E320" s="228" t="s">
        <v>3453</v>
      </c>
      <c r="F320" s="226"/>
      <c r="G320" s="188" t="s">
        <v>3436</v>
      </c>
      <c r="H320" s="229"/>
      <c r="I320" s="26">
        <v>14848000</v>
      </c>
      <c r="J320" s="26">
        <v>13312000</v>
      </c>
      <c r="K320" s="100">
        <f t="shared" si="3"/>
        <v>1536000</v>
      </c>
    </row>
    <row r="321" spans="1:11" ht="15" customHeight="1">
      <c r="A321" s="166">
        <v>44482</v>
      </c>
      <c r="B321" s="157" t="s">
        <v>2534</v>
      </c>
      <c r="C321" s="28" t="s">
        <v>3484</v>
      </c>
      <c r="D321" s="168" t="s">
        <v>3485</v>
      </c>
      <c r="E321" s="228" t="s">
        <v>3454</v>
      </c>
      <c r="F321" s="226"/>
      <c r="G321" s="188" t="s">
        <v>3437</v>
      </c>
      <c r="H321" s="229"/>
      <c r="I321" s="26">
        <v>15000000</v>
      </c>
      <c r="J321" s="26">
        <v>12666666</v>
      </c>
      <c r="K321" s="100">
        <f t="shared" si="3"/>
        <v>2333334</v>
      </c>
    </row>
    <row r="322" spans="1:11" ht="15" customHeight="1">
      <c r="A322" s="166">
        <v>44482</v>
      </c>
      <c r="B322" s="157" t="s">
        <v>3504</v>
      </c>
      <c r="C322" s="28" t="s">
        <v>889</v>
      </c>
      <c r="D322" s="168" t="s">
        <v>3486</v>
      </c>
      <c r="E322" s="228" t="s">
        <v>3455</v>
      </c>
      <c r="F322" s="226"/>
      <c r="G322" s="188" t="s">
        <v>294</v>
      </c>
      <c r="H322" s="229"/>
      <c r="I322" s="26">
        <v>264430</v>
      </c>
      <c r="J322" s="26">
        <v>264430</v>
      </c>
      <c r="K322" s="100">
        <f t="shared" si="3"/>
        <v>0</v>
      </c>
    </row>
    <row r="323" spans="1:11" ht="15" customHeight="1">
      <c r="A323" s="166">
        <v>44482</v>
      </c>
      <c r="B323" s="157" t="s">
        <v>3505</v>
      </c>
      <c r="C323" s="28" t="s">
        <v>889</v>
      </c>
      <c r="D323" s="168" t="s">
        <v>3487</v>
      </c>
      <c r="E323" s="228" t="s">
        <v>3456</v>
      </c>
      <c r="F323" s="226"/>
      <c r="G323" s="188" t="s">
        <v>43</v>
      </c>
      <c r="H323" s="229"/>
      <c r="I323" s="26">
        <v>46380</v>
      </c>
      <c r="J323" s="26">
        <v>46380</v>
      </c>
      <c r="K323" s="100">
        <f t="shared" si="3"/>
        <v>0</v>
      </c>
    </row>
    <row r="324" spans="1:11" ht="15" customHeight="1">
      <c r="A324" s="166">
        <v>44482</v>
      </c>
      <c r="B324" s="157" t="s">
        <v>3506</v>
      </c>
      <c r="C324" s="28" t="s">
        <v>889</v>
      </c>
      <c r="D324" s="168" t="s">
        <v>3488</v>
      </c>
      <c r="E324" s="228" t="s">
        <v>3457</v>
      </c>
      <c r="F324" s="226"/>
      <c r="G324" s="188" t="s">
        <v>294</v>
      </c>
      <c r="H324" s="229"/>
      <c r="I324" s="26">
        <v>304250</v>
      </c>
      <c r="J324" s="26">
        <v>304250</v>
      </c>
      <c r="K324" s="100">
        <f t="shared" si="3"/>
        <v>0</v>
      </c>
    </row>
    <row r="325" spans="1:11" ht="15" customHeight="1">
      <c r="A325" s="166">
        <v>44482</v>
      </c>
      <c r="B325" s="157" t="s">
        <v>3506</v>
      </c>
      <c r="C325" s="28" t="s">
        <v>889</v>
      </c>
      <c r="D325" s="168" t="s">
        <v>3489</v>
      </c>
      <c r="E325" s="228" t="s">
        <v>3458</v>
      </c>
      <c r="F325" s="226"/>
      <c r="G325" s="188" t="s">
        <v>43</v>
      </c>
      <c r="H325" s="229"/>
      <c r="I325" s="26">
        <v>32590</v>
      </c>
      <c r="J325" s="26">
        <v>32590</v>
      </c>
      <c r="K325" s="100">
        <f t="shared" si="3"/>
        <v>0</v>
      </c>
    </row>
    <row r="326" spans="1:11" ht="15" customHeight="1">
      <c r="A326" s="166">
        <v>44482</v>
      </c>
      <c r="B326" s="157" t="s">
        <v>3507</v>
      </c>
      <c r="C326" s="28" t="s">
        <v>889</v>
      </c>
      <c r="D326" s="168" t="s">
        <v>3490</v>
      </c>
      <c r="E326" s="228" t="s">
        <v>3459</v>
      </c>
      <c r="F326" s="226"/>
      <c r="G326" s="188" t="s">
        <v>294</v>
      </c>
      <c r="H326" s="229"/>
      <c r="I326" s="26">
        <v>3000</v>
      </c>
      <c r="J326" s="26">
        <v>3000</v>
      </c>
      <c r="K326" s="100">
        <f t="shared" si="3"/>
        <v>0</v>
      </c>
    </row>
    <row r="327" spans="1:11" ht="15" customHeight="1">
      <c r="A327" s="166">
        <v>44482</v>
      </c>
      <c r="B327" s="157" t="s">
        <v>3508</v>
      </c>
      <c r="C327" s="28" t="s">
        <v>889</v>
      </c>
      <c r="D327" s="168" t="s">
        <v>3491</v>
      </c>
      <c r="E327" s="228" t="s">
        <v>3460</v>
      </c>
      <c r="F327" s="226"/>
      <c r="G327" s="188" t="s">
        <v>43</v>
      </c>
      <c r="H327" s="229"/>
      <c r="I327" s="26">
        <v>14330</v>
      </c>
      <c r="J327" s="26">
        <v>14330</v>
      </c>
      <c r="K327" s="100">
        <f t="shared" si="3"/>
        <v>0</v>
      </c>
    </row>
    <row r="328" spans="1:11" ht="15" customHeight="1">
      <c r="A328" s="166">
        <v>44483</v>
      </c>
      <c r="B328" s="157" t="s">
        <v>2535</v>
      </c>
      <c r="C328" s="28" t="s">
        <v>443</v>
      </c>
      <c r="D328" s="168" t="s">
        <v>3492</v>
      </c>
      <c r="E328" s="228" t="s">
        <v>3461</v>
      </c>
      <c r="F328" s="226"/>
      <c r="G328" s="188" t="s">
        <v>3438</v>
      </c>
      <c r="H328" s="229"/>
      <c r="I328" s="26">
        <v>17000000</v>
      </c>
      <c r="J328" s="26">
        <v>15400000</v>
      </c>
      <c r="K328" s="100">
        <f t="shared" si="3"/>
        <v>1600000</v>
      </c>
    </row>
    <row r="329" spans="1:11" ht="15" customHeight="1">
      <c r="A329" s="166">
        <v>44484</v>
      </c>
      <c r="B329" s="157" t="s">
        <v>2539</v>
      </c>
      <c r="C329" s="28" t="s">
        <v>3493</v>
      </c>
      <c r="D329" s="168" t="s">
        <v>3494</v>
      </c>
      <c r="E329" s="228" t="s">
        <v>3462</v>
      </c>
      <c r="F329" s="226"/>
      <c r="G329" s="188" t="s">
        <v>3439</v>
      </c>
      <c r="H329" s="229"/>
      <c r="I329" s="26">
        <v>25000000</v>
      </c>
      <c r="J329" s="26">
        <v>24000000</v>
      </c>
      <c r="K329" s="100">
        <f t="shared" si="3"/>
        <v>1000000</v>
      </c>
    </row>
    <row r="330" spans="1:11" ht="15" customHeight="1">
      <c r="A330" s="166">
        <v>44488</v>
      </c>
      <c r="B330" s="157" t="s">
        <v>2537</v>
      </c>
      <c r="C330" s="28" t="s">
        <v>456</v>
      </c>
      <c r="D330" s="168" t="s">
        <v>3495</v>
      </c>
      <c r="E330" s="228" t="s">
        <v>3453</v>
      </c>
      <c r="F330" s="226"/>
      <c r="G330" s="188" t="s">
        <v>3440</v>
      </c>
      <c r="H330" s="229"/>
      <c r="I330" s="26">
        <v>12800000</v>
      </c>
      <c r="J330" s="26">
        <v>11946666</v>
      </c>
      <c r="K330" s="100">
        <f t="shared" si="3"/>
        <v>853334</v>
      </c>
    </row>
    <row r="331" spans="1:11" ht="15" customHeight="1">
      <c r="A331" s="166">
        <v>44488</v>
      </c>
      <c r="B331" s="157" t="s">
        <v>2783</v>
      </c>
      <c r="C331" s="28" t="s">
        <v>3496</v>
      </c>
      <c r="D331" s="168" t="s">
        <v>3497</v>
      </c>
      <c r="E331" s="228" t="s">
        <v>3463</v>
      </c>
      <c r="F331" s="226"/>
      <c r="G331" s="188" t="s">
        <v>3441</v>
      </c>
      <c r="H331" s="229"/>
      <c r="I331" s="26">
        <v>10902500</v>
      </c>
      <c r="J331" s="26">
        <v>10321033</v>
      </c>
      <c r="K331" s="100">
        <f t="shared" si="3"/>
        <v>581467</v>
      </c>
    </row>
    <row r="332" spans="1:11" ht="15" customHeight="1">
      <c r="A332" s="166">
        <v>44490</v>
      </c>
      <c r="B332" s="157" t="s">
        <v>2540</v>
      </c>
      <c r="C332" s="28" t="s">
        <v>3498</v>
      </c>
      <c r="D332" s="168" t="s">
        <v>3499</v>
      </c>
      <c r="E332" s="228" t="s">
        <v>3331</v>
      </c>
      <c r="F332" s="226"/>
      <c r="G332" s="188" t="s">
        <v>3442</v>
      </c>
      <c r="H332" s="229"/>
      <c r="I332" s="26">
        <v>14165333</v>
      </c>
      <c r="J332" s="26">
        <v>10922666</v>
      </c>
      <c r="K332" s="100">
        <f t="shared" si="3"/>
        <v>3242667</v>
      </c>
    </row>
    <row r="333" spans="1:11" ht="15" customHeight="1">
      <c r="A333" s="166">
        <v>44496</v>
      </c>
      <c r="B333" s="157" t="s">
        <v>3509</v>
      </c>
      <c r="C333" s="28" t="s">
        <v>889</v>
      </c>
      <c r="D333" s="168" t="s">
        <v>3500</v>
      </c>
      <c r="E333" s="228" t="s">
        <v>3464</v>
      </c>
      <c r="F333" s="226"/>
      <c r="G333" s="188" t="s">
        <v>42</v>
      </c>
      <c r="H333" s="229"/>
      <c r="I333" s="26">
        <v>162219</v>
      </c>
      <c r="J333" s="26">
        <v>162219</v>
      </c>
      <c r="K333" s="100">
        <f t="shared" si="3"/>
        <v>0</v>
      </c>
    </row>
    <row r="334" spans="1:11" ht="15" customHeight="1">
      <c r="A334" s="166">
        <v>44497</v>
      </c>
      <c r="B334" s="157" t="s">
        <v>3148</v>
      </c>
      <c r="C334" s="28" t="s">
        <v>3501</v>
      </c>
      <c r="D334" s="168" t="s">
        <v>3502</v>
      </c>
      <c r="E334" s="228" t="s">
        <v>3327</v>
      </c>
      <c r="F334" s="226"/>
      <c r="G334" s="188" t="s">
        <v>3443</v>
      </c>
      <c r="H334" s="229"/>
      <c r="I334" s="26">
        <v>10500000</v>
      </c>
      <c r="J334" s="26">
        <v>9450000</v>
      </c>
      <c r="K334" s="100">
        <f t="shared" si="3"/>
        <v>1050000</v>
      </c>
    </row>
    <row r="335" spans="1:11" ht="15" customHeight="1">
      <c r="A335" s="166">
        <v>44502</v>
      </c>
      <c r="B335" s="157">
        <v>6549359723</v>
      </c>
      <c r="C335" s="168">
        <v>242</v>
      </c>
      <c r="D335" s="168">
        <v>1929</v>
      </c>
      <c r="E335" s="228" t="s">
        <v>3768</v>
      </c>
      <c r="F335" s="277"/>
      <c r="G335" s="188" t="s">
        <v>294</v>
      </c>
      <c r="H335" s="229"/>
      <c r="I335" s="26">
        <v>133230</v>
      </c>
      <c r="J335" s="26">
        <v>133230</v>
      </c>
      <c r="K335" s="100">
        <f t="shared" si="3"/>
        <v>0</v>
      </c>
    </row>
    <row r="336" spans="1:11" ht="15" customHeight="1">
      <c r="A336" s="166">
        <v>44502</v>
      </c>
      <c r="B336" s="157">
        <v>654935964</v>
      </c>
      <c r="C336" s="168">
        <v>242</v>
      </c>
      <c r="D336" s="168">
        <v>1930</v>
      </c>
      <c r="E336" s="228" t="s">
        <v>3769</v>
      </c>
      <c r="F336" s="277"/>
      <c r="G336" s="188" t="s">
        <v>43</v>
      </c>
      <c r="H336" s="229"/>
      <c r="I336" s="26">
        <v>431050</v>
      </c>
      <c r="J336" s="26">
        <v>431050</v>
      </c>
      <c r="K336" s="100">
        <f t="shared" si="3"/>
        <v>0</v>
      </c>
    </row>
    <row r="337" spans="1:11" ht="15" customHeight="1">
      <c r="A337" s="166">
        <v>44505</v>
      </c>
      <c r="B337" s="157">
        <v>1354</v>
      </c>
      <c r="C337" s="168">
        <v>1720</v>
      </c>
      <c r="D337" s="168">
        <v>1943</v>
      </c>
      <c r="E337" s="228" t="s">
        <v>3770</v>
      </c>
      <c r="F337" s="277"/>
      <c r="G337" s="188" t="s">
        <v>3790</v>
      </c>
      <c r="H337" s="229"/>
      <c r="I337" s="26">
        <v>13533333</v>
      </c>
      <c r="J337" s="26">
        <v>10826666</v>
      </c>
      <c r="K337" s="100">
        <f t="shared" si="3"/>
        <v>2706667</v>
      </c>
    </row>
    <row r="338" spans="1:11" ht="15" customHeight="1">
      <c r="A338" s="166">
        <v>44505</v>
      </c>
      <c r="B338" s="157">
        <v>1364</v>
      </c>
      <c r="C338" s="168">
        <v>1749</v>
      </c>
      <c r="D338" s="168">
        <v>1946</v>
      </c>
      <c r="E338" s="228" t="s">
        <v>3771</v>
      </c>
      <c r="F338" s="277"/>
      <c r="G338" s="188" t="s">
        <v>3791</v>
      </c>
      <c r="H338" s="229"/>
      <c r="I338" s="26">
        <v>8285900</v>
      </c>
      <c r="J338" s="26">
        <v>8140533</v>
      </c>
      <c r="K338" s="100">
        <f t="shared" si="3"/>
        <v>145367</v>
      </c>
    </row>
    <row r="339" spans="1:11" ht="15" customHeight="1">
      <c r="A339" s="166">
        <v>44505</v>
      </c>
      <c r="B339" s="157">
        <v>1362</v>
      </c>
      <c r="C339" s="168">
        <v>1745</v>
      </c>
      <c r="D339" s="168">
        <v>1948</v>
      </c>
      <c r="E339" s="228" t="s">
        <v>3772</v>
      </c>
      <c r="F339" s="277"/>
      <c r="G339" s="188" t="s">
        <v>3792</v>
      </c>
      <c r="H339" s="229"/>
      <c r="I339" s="26">
        <v>8722000</v>
      </c>
      <c r="J339" s="26">
        <v>8140533</v>
      </c>
      <c r="K339" s="100">
        <f t="shared" si="3"/>
        <v>581467</v>
      </c>
    </row>
    <row r="340" spans="1:11" ht="15" customHeight="1">
      <c r="A340" s="166">
        <v>44505</v>
      </c>
      <c r="B340" s="157">
        <v>1363</v>
      </c>
      <c r="C340" s="168">
        <v>1749</v>
      </c>
      <c r="D340" s="168">
        <v>1949</v>
      </c>
      <c r="E340" s="228" t="s">
        <v>3771</v>
      </c>
      <c r="F340" s="277"/>
      <c r="G340" s="188" t="s">
        <v>3793</v>
      </c>
      <c r="H340" s="229"/>
      <c r="I340" s="26">
        <v>8285900</v>
      </c>
      <c r="J340" s="26">
        <v>7268333</v>
      </c>
      <c r="K340" s="100">
        <f t="shared" si="3"/>
        <v>1017567</v>
      </c>
    </row>
    <row r="341" spans="1:11" ht="15" customHeight="1">
      <c r="A341" s="166">
        <v>44505</v>
      </c>
      <c r="B341" s="157">
        <v>1359</v>
      </c>
      <c r="C341" s="168">
        <v>1743</v>
      </c>
      <c r="D341" s="168">
        <v>1950</v>
      </c>
      <c r="E341" s="228" t="s">
        <v>3773</v>
      </c>
      <c r="F341" s="277"/>
      <c r="G341" s="188" t="s">
        <v>3794</v>
      </c>
      <c r="H341" s="229"/>
      <c r="I341" s="26">
        <v>9012733</v>
      </c>
      <c r="J341" s="26">
        <v>7704433</v>
      </c>
      <c r="K341" s="100">
        <f t="shared" si="3"/>
        <v>1308300</v>
      </c>
    </row>
    <row r="342" spans="1:11" ht="15" customHeight="1">
      <c r="A342" s="166">
        <v>44505</v>
      </c>
      <c r="B342" s="157">
        <v>1358</v>
      </c>
      <c r="C342" s="168">
        <v>1742</v>
      </c>
      <c r="D342" s="168">
        <v>1951</v>
      </c>
      <c r="E342" s="228" t="s">
        <v>3774</v>
      </c>
      <c r="F342" s="277"/>
      <c r="G342" s="188" t="s">
        <v>3795</v>
      </c>
      <c r="H342" s="229"/>
      <c r="I342" s="26">
        <v>9012733</v>
      </c>
      <c r="J342" s="26">
        <v>8140533</v>
      </c>
      <c r="K342" s="100">
        <f t="shared" si="3"/>
        <v>872200</v>
      </c>
    </row>
    <row r="343" spans="1:11" ht="15" customHeight="1">
      <c r="A343" s="166">
        <v>44505</v>
      </c>
      <c r="B343" s="157">
        <v>54517685</v>
      </c>
      <c r="C343" s="168">
        <v>1104</v>
      </c>
      <c r="D343" s="168">
        <v>1954</v>
      </c>
      <c r="E343" s="228" t="s">
        <v>3775</v>
      </c>
      <c r="F343" s="277"/>
      <c r="G343" s="188" t="s">
        <v>1165</v>
      </c>
      <c r="H343" s="229"/>
      <c r="I343" s="26">
        <v>13845452</v>
      </c>
      <c r="J343" s="26">
        <v>13845452</v>
      </c>
      <c r="K343" s="100">
        <f t="shared" si="3"/>
        <v>0</v>
      </c>
    </row>
    <row r="344" spans="1:11" ht="15" customHeight="1">
      <c r="A344" s="166">
        <v>44508</v>
      </c>
      <c r="B344" s="157">
        <v>6554711497</v>
      </c>
      <c r="C344" s="168">
        <v>242</v>
      </c>
      <c r="D344" s="168">
        <v>1957</v>
      </c>
      <c r="E344" s="228" t="s">
        <v>3776</v>
      </c>
      <c r="F344" s="277"/>
      <c r="G344" s="188" t="s">
        <v>294</v>
      </c>
      <c r="H344" s="229"/>
      <c r="I344" s="26">
        <v>5570</v>
      </c>
      <c r="J344" s="26">
        <v>5570</v>
      </c>
      <c r="K344" s="100">
        <f t="shared" si="3"/>
        <v>0</v>
      </c>
    </row>
    <row r="345" spans="1:11" ht="15" customHeight="1">
      <c r="A345" s="166">
        <v>44508</v>
      </c>
      <c r="B345" s="157">
        <v>655471149</v>
      </c>
      <c r="C345" s="168">
        <v>242</v>
      </c>
      <c r="D345" s="168">
        <v>1958</v>
      </c>
      <c r="E345" s="228" t="s">
        <v>3777</v>
      </c>
      <c r="F345" s="277"/>
      <c r="G345" s="188" t="s">
        <v>43</v>
      </c>
      <c r="H345" s="229"/>
      <c r="I345" s="26">
        <v>14400</v>
      </c>
      <c r="J345" s="26">
        <v>14400</v>
      </c>
      <c r="K345" s="100">
        <f t="shared" si="3"/>
        <v>0</v>
      </c>
    </row>
    <row r="346" spans="1:11" ht="15" customHeight="1">
      <c r="A346" s="166">
        <v>44508</v>
      </c>
      <c r="B346" s="157">
        <v>1368</v>
      </c>
      <c r="C346" s="168">
        <v>1747</v>
      </c>
      <c r="D346" s="168">
        <v>1963</v>
      </c>
      <c r="E346" s="228" t="s">
        <v>3778</v>
      </c>
      <c r="F346" s="277"/>
      <c r="G346" s="188" t="s">
        <v>3796</v>
      </c>
      <c r="H346" s="229"/>
      <c r="I346" s="26">
        <v>8722000</v>
      </c>
      <c r="J346" s="26">
        <v>7559067</v>
      </c>
      <c r="K346" s="100">
        <f t="shared" si="3"/>
        <v>1162933</v>
      </c>
    </row>
    <row r="347" spans="1:11" ht="15" customHeight="1">
      <c r="A347" s="166">
        <v>44508</v>
      </c>
      <c r="B347" s="157">
        <v>1367</v>
      </c>
      <c r="C347" s="168">
        <v>1746</v>
      </c>
      <c r="D347" s="168">
        <v>1965</v>
      </c>
      <c r="E347" s="228" t="s">
        <v>3779</v>
      </c>
      <c r="F347" s="277"/>
      <c r="G347" s="188" t="s">
        <v>3797</v>
      </c>
      <c r="H347" s="229"/>
      <c r="I347" s="26">
        <v>8722000</v>
      </c>
      <c r="J347" s="26">
        <v>7413700</v>
      </c>
      <c r="K347" s="100">
        <f t="shared" si="3"/>
        <v>1308300</v>
      </c>
    </row>
    <row r="348" spans="1:11" ht="15" customHeight="1">
      <c r="A348" s="166">
        <v>44508</v>
      </c>
      <c r="B348" s="157">
        <v>1365</v>
      </c>
      <c r="C348" s="168">
        <v>1741</v>
      </c>
      <c r="D348" s="168">
        <v>1966</v>
      </c>
      <c r="E348" s="228" t="s">
        <v>3780</v>
      </c>
      <c r="F348" s="277"/>
      <c r="G348" s="188" t="s">
        <v>3798</v>
      </c>
      <c r="H348" s="229"/>
      <c r="I348" s="26">
        <v>9450000</v>
      </c>
      <c r="J348" s="26">
        <v>7800000</v>
      </c>
      <c r="K348" s="100">
        <f t="shared" si="3"/>
        <v>1650000</v>
      </c>
    </row>
    <row r="349" spans="1:11" ht="15" customHeight="1">
      <c r="A349" s="166">
        <v>44508</v>
      </c>
      <c r="B349" s="157">
        <v>1360</v>
      </c>
      <c r="C349" s="168">
        <v>1738</v>
      </c>
      <c r="D349" s="168">
        <v>1967</v>
      </c>
      <c r="E349" s="228" t="s">
        <v>2986</v>
      </c>
      <c r="F349" s="277"/>
      <c r="G349" s="188" t="s">
        <v>3799</v>
      </c>
      <c r="H349" s="229"/>
      <c r="I349" s="26">
        <v>10333333</v>
      </c>
      <c r="J349" s="26">
        <v>0</v>
      </c>
      <c r="K349" s="100">
        <f t="shared" si="3"/>
        <v>10333333</v>
      </c>
    </row>
    <row r="350" spans="1:11" ht="15" customHeight="1">
      <c r="A350" s="166">
        <v>44511</v>
      </c>
      <c r="B350" s="157">
        <v>1372</v>
      </c>
      <c r="C350" s="168">
        <v>1617</v>
      </c>
      <c r="D350" s="168">
        <v>1975</v>
      </c>
      <c r="E350" s="228" t="s">
        <v>3781</v>
      </c>
      <c r="F350" s="277"/>
      <c r="G350" s="188" t="s">
        <v>3800</v>
      </c>
      <c r="H350" s="229"/>
      <c r="I350" s="26">
        <v>55000000</v>
      </c>
      <c r="J350" s="26">
        <v>1420860</v>
      </c>
      <c r="K350" s="100">
        <f t="shared" si="3"/>
        <v>53579140</v>
      </c>
    </row>
    <row r="351" spans="1:11" ht="15" customHeight="1">
      <c r="A351" s="166">
        <v>44512</v>
      </c>
      <c r="B351" s="157">
        <v>1373</v>
      </c>
      <c r="C351" s="168">
        <v>1757</v>
      </c>
      <c r="D351" s="168">
        <v>1978</v>
      </c>
      <c r="E351" s="228" t="s">
        <v>3327</v>
      </c>
      <c r="F351" s="277"/>
      <c r="G351" s="188" t="s">
        <v>3801</v>
      </c>
      <c r="H351" s="229"/>
      <c r="I351" s="26">
        <v>8550000</v>
      </c>
      <c r="J351" s="26">
        <v>6750000</v>
      </c>
      <c r="K351" s="100">
        <f t="shared" si="3"/>
        <v>1800000</v>
      </c>
    </row>
    <row r="352" spans="1:11" ht="15" customHeight="1">
      <c r="A352" s="166">
        <v>44512</v>
      </c>
      <c r="B352" s="157">
        <v>1376</v>
      </c>
      <c r="C352" s="168">
        <v>1776</v>
      </c>
      <c r="D352" s="168">
        <v>1981</v>
      </c>
      <c r="E352" s="228" t="s">
        <v>3782</v>
      </c>
      <c r="F352" s="277"/>
      <c r="G352" s="188" t="s">
        <v>3802</v>
      </c>
      <c r="H352" s="229"/>
      <c r="I352" s="26">
        <f>822692237-822692237</f>
        <v>0</v>
      </c>
      <c r="J352" s="26">
        <v>0</v>
      </c>
      <c r="K352" s="100">
        <f t="shared" si="3"/>
        <v>0</v>
      </c>
    </row>
    <row r="353" spans="1:11" ht="15" customHeight="1">
      <c r="A353" s="166">
        <v>44518</v>
      </c>
      <c r="B353" s="157">
        <v>1382</v>
      </c>
      <c r="C353" s="168">
        <v>1766</v>
      </c>
      <c r="D353" s="168">
        <v>1996</v>
      </c>
      <c r="E353" s="228" t="s">
        <v>3783</v>
      </c>
      <c r="F353" s="277"/>
      <c r="G353" s="188" t="s">
        <v>3803</v>
      </c>
      <c r="H353" s="229"/>
      <c r="I353" s="26">
        <v>4940800</v>
      </c>
      <c r="J353" s="26">
        <v>4426133</v>
      </c>
      <c r="K353" s="100">
        <f t="shared" si="3"/>
        <v>514667</v>
      </c>
    </row>
    <row r="354" spans="1:11" ht="15" customHeight="1">
      <c r="A354" s="166">
        <v>44519</v>
      </c>
      <c r="B354" s="157">
        <v>6566070515</v>
      </c>
      <c r="C354" s="168">
        <v>242</v>
      </c>
      <c r="D354" s="168">
        <v>2002</v>
      </c>
      <c r="E354" s="228" t="s">
        <v>3784</v>
      </c>
      <c r="F354" s="277"/>
      <c r="G354" s="188" t="s">
        <v>294</v>
      </c>
      <c r="H354" s="229"/>
      <c r="I354" s="26">
        <v>115100</v>
      </c>
      <c r="J354" s="26">
        <v>115100</v>
      </c>
      <c r="K354" s="100">
        <f t="shared" si="3"/>
        <v>0</v>
      </c>
    </row>
    <row r="355" spans="1:11" ht="15" customHeight="1">
      <c r="A355" s="166">
        <v>44519</v>
      </c>
      <c r="B355" s="157">
        <v>656607051</v>
      </c>
      <c r="C355" s="168">
        <v>242</v>
      </c>
      <c r="D355" s="168">
        <v>2003</v>
      </c>
      <c r="E355" s="228" t="s">
        <v>3785</v>
      </c>
      <c r="F355" s="277"/>
      <c r="G355" s="188" t="s">
        <v>43</v>
      </c>
      <c r="H355" s="229"/>
      <c r="I355" s="26">
        <v>32270</v>
      </c>
      <c r="J355" s="26">
        <v>32270</v>
      </c>
      <c r="K355" s="100">
        <f t="shared" si="3"/>
        <v>0</v>
      </c>
    </row>
    <row r="356" spans="1:11" ht="15" customHeight="1">
      <c r="A356" s="166">
        <v>44522</v>
      </c>
      <c r="B356" s="157">
        <v>1393</v>
      </c>
      <c r="C356" s="168">
        <v>1796</v>
      </c>
      <c r="D356" s="168">
        <v>2009</v>
      </c>
      <c r="E356" s="228" t="s">
        <v>3786</v>
      </c>
      <c r="F356" s="277"/>
      <c r="G356" s="188" t="s">
        <v>3804</v>
      </c>
      <c r="H356" s="229"/>
      <c r="I356" s="26">
        <v>7400000</v>
      </c>
      <c r="J356" s="26">
        <v>7400000</v>
      </c>
      <c r="K356" s="100">
        <f t="shared" si="3"/>
        <v>0</v>
      </c>
    </row>
    <row r="357" spans="1:11" ht="15" customHeight="1">
      <c r="A357" s="166">
        <v>44524</v>
      </c>
      <c r="B357" s="157">
        <v>38425612413</v>
      </c>
      <c r="C357" s="168">
        <v>242</v>
      </c>
      <c r="D357" s="168">
        <v>2011</v>
      </c>
      <c r="E357" s="228" t="s">
        <v>3787</v>
      </c>
      <c r="F357" s="277"/>
      <c r="G357" s="188" t="s">
        <v>42</v>
      </c>
      <c r="H357" s="229"/>
      <c r="I357" s="26">
        <v>66024</v>
      </c>
      <c r="J357" s="26">
        <v>66024</v>
      </c>
      <c r="K357" s="100">
        <f t="shared" si="3"/>
        <v>0</v>
      </c>
    </row>
    <row r="358" spans="1:11" ht="15" customHeight="1">
      <c r="A358" s="166">
        <v>44524</v>
      </c>
      <c r="B358" s="157">
        <v>6554708500</v>
      </c>
      <c r="C358" s="168">
        <v>242</v>
      </c>
      <c r="D358" s="168">
        <v>2012</v>
      </c>
      <c r="E358" s="228" t="s">
        <v>3788</v>
      </c>
      <c r="F358" s="277"/>
      <c r="G358" s="188" t="s">
        <v>294</v>
      </c>
      <c r="H358" s="229"/>
      <c r="I358" s="26">
        <v>129660</v>
      </c>
      <c r="J358" s="26">
        <v>129660</v>
      </c>
      <c r="K358" s="100">
        <f t="shared" si="3"/>
        <v>0</v>
      </c>
    </row>
    <row r="359" spans="1:11" ht="15" customHeight="1">
      <c r="A359" s="166">
        <v>44530</v>
      </c>
      <c r="B359" s="157">
        <v>1401</v>
      </c>
      <c r="C359" s="168">
        <v>1799</v>
      </c>
      <c r="D359" s="168">
        <v>2025</v>
      </c>
      <c r="E359" s="228" t="s">
        <v>3789</v>
      </c>
      <c r="F359" s="277"/>
      <c r="G359" s="188" t="s">
        <v>3805</v>
      </c>
      <c r="H359" s="229"/>
      <c r="I359" s="26">
        <v>3083333</v>
      </c>
      <c r="J359" s="26">
        <v>2583333</v>
      </c>
      <c r="K359" s="100">
        <f t="shared" si="3"/>
        <v>500000</v>
      </c>
    </row>
    <row r="360" spans="1:11" ht="15" customHeight="1">
      <c r="A360" s="166">
        <v>44531</v>
      </c>
      <c r="B360" s="157">
        <v>6585920023</v>
      </c>
      <c r="C360" s="28">
        <v>242</v>
      </c>
      <c r="D360" s="168">
        <v>2032</v>
      </c>
      <c r="E360" s="228" t="s">
        <v>3895</v>
      </c>
      <c r="F360" s="226"/>
      <c r="G360" s="188" t="s">
        <v>294</v>
      </c>
      <c r="H360" s="229"/>
      <c r="I360" s="26">
        <v>178250</v>
      </c>
      <c r="J360" s="26">
        <v>178250</v>
      </c>
      <c r="K360" s="100">
        <f t="shared" si="3"/>
        <v>0</v>
      </c>
    </row>
    <row r="361" spans="1:11" ht="15" customHeight="1">
      <c r="A361" s="166">
        <v>44531</v>
      </c>
      <c r="B361" s="157">
        <v>658592005</v>
      </c>
      <c r="C361" s="28">
        <v>242</v>
      </c>
      <c r="D361" s="168">
        <v>2033</v>
      </c>
      <c r="E361" s="228" t="s">
        <v>3896</v>
      </c>
      <c r="F361" s="226"/>
      <c r="G361" s="188" t="s">
        <v>43</v>
      </c>
      <c r="H361" s="229"/>
      <c r="I361" s="26">
        <v>414370</v>
      </c>
      <c r="J361" s="26">
        <v>414370</v>
      </c>
      <c r="K361" s="100">
        <f t="shared" si="3"/>
        <v>0</v>
      </c>
    </row>
    <row r="362" spans="1:11" ht="15" customHeight="1">
      <c r="A362" s="166">
        <v>44532</v>
      </c>
      <c r="B362" s="157">
        <v>1406</v>
      </c>
      <c r="C362" s="28">
        <v>1822</v>
      </c>
      <c r="D362" s="168">
        <v>2039</v>
      </c>
      <c r="E362" s="228" t="s">
        <v>3897</v>
      </c>
      <c r="F362" s="226"/>
      <c r="G362" s="188" t="s">
        <v>3891</v>
      </c>
      <c r="H362" s="229"/>
      <c r="I362" s="26">
        <v>7200000</v>
      </c>
      <c r="J362" s="26">
        <v>5600000</v>
      </c>
      <c r="K362" s="100">
        <f t="shared" si="3"/>
        <v>1600000</v>
      </c>
    </row>
    <row r="363" spans="1:11" ht="15" customHeight="1">
      <c r="A363" s="166">
        <v>44536</v>
      </c>
      <c r="B363" s="157">
        <v>39103039010</v>
      </c>
      <c r="C363" s="28">
        <v>242</v>
      </c>
      <c r="D363" s="168">
        <v>2044</v>
      </c>
      <c r="E363" s="228" t="s">
        <v>3898</v>
      </c>
      <c r="F363" s="226"/>
      <c r="G363" s="188" t="s">
        <v>42</v>
      </c>
      <c r="H363" s="229"/>
      <c r="I363" s="26">
        <v>25744</v>
      </c>
      <c r="J363" s="26">
        <v>25744</v>
      </c>
      <c r="K363" s="100">
        <f t="shared" si="3"/>
        <v>0</v>
      </c>
    </row>
    <row r="364" spans="1:11" ht="15" customHeight="1">
      <c r="A364" s="166">
        <v>44536</v>
      </c>
      <c r="B364" s="157">
        <v>1392</v>
      </c>
      <c r="C364" s="28">
        <v>1774</v>
      </c>
      <c r="D364" s="168">
        <v>2046</v>
      </c>
      <c r="E364" s="228" t="s">
        <v>3899</v>
      </c>
      <c r="F364" s="226"/>
      <c r="G364" s="188" t="s">
        <v>3892</v>
      </c>
      <c r="H364" s="229"/>
      <c r="I364" s="26">
        <v>8983333</v>
      </c>
      <c r="J364" s="26">
        <v>4583333</v>
      </c>
      <c r="K364" s="100">
        <f t="shared" si="3"/>
        <v>4400000</v>
      </c>
    </row>
    <row r="365" spans="1:11" ht="15" customHeight="1">
      <c r="A365" s="166">
        <v>44537</v>
      </c>
      <c r="B365" s="157">
        <v>6591262822</v>
      </c>
      <c r="C365" s="28">
        <v>242</v>
      </c>
      <c r="D365" s="168">
        <v>2059</v>
      </c>
      <c r="E365" s="228" t="s">
        <v>3900</v>
      </c>
      <c r="F365" s="226"/>
      <c r="G365" s="188" t="s">
        <v>294</v>
      </c>
      <c r="H365" s="229"/>
      <c r="I365" s="26">
        <v>11780</v>
      </c>
      <c r="J365" s="26">
        <v>11780</v>
      </c>
      <c r="K365" s="100">
        <f t="shared" si="3"/>
        <v>0</v>
      </c>
    </row>
    <row r="366" spans="1:11" ht="15" customHeight="1">
      <c r="A366" s="166">
        <v>44537</v>
      </c>
      <c r="B366" s="157">
        <v>659126282</v>
      </c>
      <c r="C366" s="28">
        <v>242</v>
      </c>
      <c r="D366" s="168">
        <v>2060</v>
      </c>
      <c r="E366" s="228" t="s">
        <v>3901</v>
      </c>
      <c r="F366" s="226"/>
      <c r="G366" s="188" t="s">
        <v>43</v>
      </c>
      <c r="H366" s="229"/>
      <c r="I366" s="26">
        <v>14700</v>
      </c>
      <c r="J366" s="26">
        <v>14700</v>
      </c>
      <c r="K366" s="100">
        <f t="shared" si="3"/>
        <v>0</v>
      </c>
    </row>
    <row r="367" spans="1:11" ht="15" customHeight="1">
      <c r="A367" s="166">
        <v>44537</v>
      </c>
      <c r="B367" s="157">
        <v>1185</v>
      </c>
      <c r="C367" s="28">
        <v>1851</v>
      </c>
      <c r="D367" s="168">
        <v>2067</v>
      </c>
      <c r="E367" s="228" t="s">
        <v>3902</v>
      </c>
      <c r="F367" s="226"/>
      <c r="G367" s="188" t="s">
        <v>3893</v>
      </c>
      <c r="H367" s="229"/>
      <c r="I367" s="26">
        <v>2531625</v>
      </c>
      <c r="J367" s="26">
        <v>2531625</v>
      </c>
      <c r="K367" s="100">
        <f t="shared" si="3"/>
        <v>0</v>
      </c>
    </row>
    <row r="368" spans="1:11" ht="15" customHeight="1">
      <c r="A368" s="166">
        <v>44537</v>
      </c>
      <c r="B368" s="157">
        <v>1184</v>
      </c>
      <c r="C368" s="28">
        <v>1852</v>
      </c>
      <c r="D368" s="168">
        <v>2068</v>
      </c>
      <c r="E368" s="228" t="s">
        <v>3903</v>
      </c>
      <c r="F368" s="226"/>
      <c r="G368" s="188" t="s">
        <v>3894</v>
      </c>
      <c r="H368" s="229"/>
      <c r="I368" s="26">
        <v>3021000</v>
      </c>
      <c r="J368" s="26">
        <v>3021000</v>
      </c>
      <c r="K368" s="100">
        <f t="shared" si="3"/>
        <v>0</v>
      </c>
    </row>
    <row r="369" spans="1:11" ht="15" customHeight="1">
      <c r="A369" s="166">
        <v>44544</v>
      </c>
      <c r="B369" s="157">
        <v>660262236</v>
      </c>
      <c r="C369" s="28">
        <v>242</v>
      </c>
      <c r="D369" s="168">
        <v>2176</v>
      </c>
      <c r="E369" s="228" t="s">
        <v>3904</v>
      </c>
      <c r="F369" s="226"/>
      <c r="G369" s="188" t="s">
        <v>43</v>
      </c>
      <c r="H369" s="229"/>
      <c r="I369" s="26">
        <v>33580</v>
      </c>
      <c r="J369" s="26">
        <v>33580</v>
      </c>
      <c r="K369" s="100">
        <f t="shared" si="3"/>
        <v>0</v>
      </c>
    </row>
    <row r="370" spans="1:11" ht="15" customHeight="1">
      <c r="A370" s="166">
        <v>44544</v>
      </c>
      <c r="B370" s="157">
        <v>6602622360</v>
      </c>
      <c r="C370" s="28">
        <v>242</v>
      </c>
      <c r="D370" s="168">
        <v>2177</v>
      </c>
      <c r="E370" s="228" t="s">
        <v>3905</v>
      </c>
      <c r="F370" s="226"/>
      <c r="G370" s="188" t="s">
        <v>294</v>
      </c>
      <c r="H370" s="229"/>
      <c r="I370" s="26">
        <v>289100</v>
      </c>
      <c r="J370" s="26">
        <v>289100</v>
      </c>
      <c r="K370" s="100">
        <f t="shared" si="3"/>
        <v>0</v>
      </c>
    </row>
    <row r="371" spans="1:11" ht="15" customHeight="1">
      <c r="A371" s="166">
        <v>44545</v>
      </c>
      <c r="B371" s="157">
        <v>55354364</v>
      </c>
      <c r="C371" s="28">
        <v>1104</v>
      </c>
      <c r="D371" s="168">
        <v>2187</v>
      </c>
      <c r="E371" s="228" t="s">
        <v>3906</v>
      </c>
      <c r="F371" s="226"/>
      <c r="G371" s="188" t="s">
        <v>1165</v>
      </c>
      <c r="H371" s="229"/>
      <c r="I371" s="26">
        <v>7174201</v>
      </c>
      <c r="J371" s="26">
        <v>7174201</v>
      </c>
      <c r="K371" s="100">
        <f t="shared" si="3"/>
        <v>0</v>
      </c>
    </row>
    <row r="372" spans="1:11" ht="15" customHeight="1">
      <c r="A372" s="166">
        <v>44545</v>
      </c>
      <c r="B372" s="157">
        <v>55354364</v>
      </c>
      <c r="C372" s="28">
        <v>1661</v>
      </c>
      <c r="D372" s="168">
        <v>2188</v>
      </c>
      <c r="E372" s="228" t="s">
        <v>3767</v>
      </c>
      <c r="F372" s="226"/>
      <c r="G372" s="188" t="s">
        <v>1165</v>
      </c>
      <c r="H372" s="229"/>
      <c r="I372" s="26">
        <v>1901162</v>
      </c>
      <c r="J372" s="26">
        <v>1901162</v>
      </c>
      <c r="K372" s="100">
        <f t="shared" si="3"/>
        <v>0</v>
      </c>
    </row>
    <row r="373" spans="1:11" ht="15" customHeight="1">
      <c r="A373" s="166">
        <v>44545</v>
      </c>
      <c r="B373" s="157">
        <v>55354364</v>
      </c>
      <c r="C373" s="28">
        <v>1878</v>
      </c>
      <c r="D373" s="168">
        <v>2190</v>
      </c>
      <c r="E373" s="228" t="s">
        <v>3907</v>
      </c>
      <c r="F373" s="226"/>
      <c r="G373" s="188" t="s">
        <v>1165</v>
      </c>
      <c r="H373" s="229"/>
      <c r="I373" s="26">
        <v>4583140</v>
      </c>
      <c r="J373" s="26">
        <v>4583140</v>
      </c>
      <c r="K373" s="100">
        <f t="shared" si="3"/>
        <v>0</v>
      </c>
    </row>
    <row r="374" spans="1:11" ht="15" customHeight="1">
      <c r="A374" s="166">
        <v>44554</v>
      </c>
      <c r="B374" s="157">
        <v>19157047416</v>
      </c>
      <c r="C374" s="28">
        <v>242</v>
      </c>
      <c r="D374" s="168">
        <v>2267</v>
      </c>
      <c r="E374" s="228" t="s">
        <v>3908</v>
      </c>
      <c r="F374" s="226"/>
      <c r="G374" s="188" t="s">
        <v>42</v>
      </c>
      <c r="H374" s="229"/>
      <c r="I374" s="26">
        <v>179769</v>
      </c>
      <c r="J374" s="26">
        <v>179769</v>
      </c>
      <c r="K374" s="100">
        <f t="shared" si="3"/>
        <v>0</v>
      </c>
    </row>
    <row r="375" spans="1:11" ht="15" customHeight="1">
      <c r="A375" s="166">
        <v>44559</v>
      </c>
      <c r="B375" s="157">
        <v>55687866</v>
      </c>
      <c r="C375" s="28">
        <v>1878</v>
      </c>
      <c r="D375" s="168">
        <v>2282</v>
      </c>
      <c r="E375" s="228" t="s">
        <v>3909</v>
      </c>
      <c r="F375" s="226"/>
      <c r="G375" s="188" t="s">
        <v>1165</v>
      </c>
      <c r="H375" s="229"/>
      <c r="I375" s="26">
        <v>3416860</v>
      </c>
      <c r="J375" s="26">
        <v>3416860</v>
      </c>
      <c r="K375" s="100">
        <f t="shared" si="3"/>
        <v>0</v>
      </c>
    </row>
    <row r="376" spans="1:11" ht="15" customHeight="1">
      <c r="A376" s="166">
        <v>44561</v>
      </c>
      <c r="B376" s="157">
        <v>976</v>
      </c>
      <c r="C376" s="28">
        <v>1916</v>
      </c>
      <c r="D376" s="168">
        <v>2289</v>
      </c>
      <c r="E376" s="228" t="s">
        <v>3910</v>
      </c>
      <c r="F376" s="226"/>
      <c r="G376" s="188" t="s">
        <v>207</v>
      </c>
      <c r="H376" s="229"/>
      <c r="I376" s="26">
        <v>15112600</v>
      </c>
      <c r="J376" s="26">
        <v>0</v>
      </c>
      <c r="K376" s="100">
        <f t="shared" si="4" ref="K376">+I376-J376</f>
        <v>15112600</v>
      </c>
    </row>
    <row r="377" spans="1:11" ht="15">
      <c r="A377" s="17"/>
      <c r="B377" s="163"/>
      <c r="C377" s="18"/>
      <c r="D377" s="18"/>
      <c r="E377" s="223"/>
      <c r="F377" s="223"/>
      <c r="G377" s="285" t="s">
        <v>19</v>
      </c>
      <c r="H377" s="286"/>
      <c r="I377" s="31">
        <f>SUM(I12:I376)</f>
        <v>7499782236</v>
      </c>
      <c r="J377" s="31">
        <f>SUM(J12:J376)</f>
        <v>6277511645</v>
      </c>
      <c r="K377" s="202">
        <f>SUM(K12:K376)</f>
        <v>1222270591</v>
      </c>
    </row>
    <row r="378" spans="1:11" ht="12.75" customHeight="1">
      <c r="A378" s="17"/>
      <c r="B378" s="163"/>
      <c r="C378" s="18"/>
      <c r="D378" s="18"/>
      <c r="E378" s="223"/>
      <c r="F378" s="231"/>
      <c r="G378" s="223"/>
      <c r="H378" s="223"/>
      <c r="I378" s="22"/>
      <c r="J378" s="22"/>
      <c r="K378" s="203"/>
    </row>
    <row r="379" spans="1:11" ht="24.95" customHeight="1">
      <c r="A379" s="76" t="s">
        <v>38</v>
      </c>
      <c r="B379" s="158" t="s">
        <v>40</v>
      </c>
      <c r="C379" s="76" t="s">
        <v>41</v>
      </c>
      <c r="D379" s="78" t="s">
        <v>39</v>
      </c>
      <c r="E379" s="232" t="s">
        <v>15</v>
      </c>
      <c r="F379" s="232" t="s">
        <v>34</v>
      </c>
      <c r="G379" s="232" t="s">
        <v>16</v>
      </c>
      <c r="H379" s="232" t="s">
        <v>22</v>
      </c>
      <c r="I379" s="76" t="s">
        <v>12</v>
      </c>
      <c r="J379" s="76" t="s">
        <v>23</v>
      </c>
      <c r="K379" s="204" t="s">
        <v>4</v>
      </c>
    </row>
    <row r="380" spans="1:11" ht="24.95" customHeight="1">
      <c r="A380" s="79">
        <v>9000000000</v>
      </c>
      <c r="B380" s="164">
        <v>0</v>
      </c>
      <c r="C380" s="79">
        <v>0</v>
      </c>
      <c r="D380" s="80">
        <f>+A380+B380-C380</f>
        <v>9000000000</v>
      </c>
      <c r="E380" s="233">
        <f>+I377</f>
        <v>7499782236</v>
      </c>
      <c r="F380" s="234">
        <f>+E380/D380</f>
        <v>0.83330913733333334</v>
      </c>
      <c r="G380" s="233">
        <f>+I9</f>
        <v>0</v>
      </c>
      <c r="H380" s="233">
        <f>+D380-E380-G380</f>
        <v>1500217764</v>
      </c>
      <c r="I380" s="80">
        <f>+J377</f>
        <v>6277511645</v>
      </c>
      <c r="J380" s="81">
        <f>+I380/D380</f>
        <v>0.69750129388888893</v>
      </c>
      <c r="K380" s="205">
        <f>+K377</f>
        <v>1222270591</v>
      </c>
    </row>
    <row r="381" spans="1:11" ht="15">
      <c r="A381" s="82">
        <v>1</v>
      </c>
      <c r="B381" s="159">
        <v>2</v>
      </c>
      <c r="C381" s="82">
        <v>3</v>
      </c>
      <c r="D381" s="82" t="s">
        <v>3</v>
      </c>
      <c r="E381" s="235">
        <v>5</v>
      </c>
      <c r="F381" s="235" t="s">
        <v>18</v>
      </c>
      <c r="G381" s="235">
        <v>7</v>
      </c>
      <c r="H381" s="235" t="s">
        <v>9</v>
      </c>
      <c r="I381" s="82">
        <v>9</v>
      </c>
      <c r="J381" s="82" t="s">
        <v>24</v>
      </c>
      <c r="K381" s="206" t="s">
        <v>25</v>
      </c>
    </row>
    <row r="384" spans="9:9" ht="15">
      <c r="I384" s="68"/>
    </row>
  </sheetData>
  <mergeCells count="16">
    <mergeCell ref="A3:J3"/>
    <mergeCell ref="G377:H377"/>
    <mergeCell ref="G9:H9"/>
    <mergeCell ref="A10:A11"/>
    <mergeCell ref="E10:H10"/>
    <mergeCell ref="I10:I11"/>
    <mergeCell ref="J10:J11"/>
    <mergeCell ref="E11:F11"/>
    <mergeCell ref="G11:H11"/>
    <mergeCell ref="A5:A6"/>
    <mergeCell ref="B5:B6"/>
    <mergeCell ref="D5:D6"/>
    <mergeCell ref="E5:H5"/>
    <mergeCell ref="I5:I6"/>
    <mergeCell ref="J5:K6"/>
    <mergeCell ref="E6:H6"/>
  </mergeCells>
  <printOptions horizontalCentered="1" verticalCentered="1"/>
  <pageMargins left="0.1968503937007874" right="0.1968503937007874" top="0.3937007874015748" bottom="0.3937007874015748" header="0" footer="0"/>
  <pageSetup orientation="landscape" scale="80" r:id="rId1"/>
  <headerFooter>
    <oddHeader>&amp;R&amp;D</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K381"/>
  <sheetViews>
    <sheetView workbookViewId="0" topLeftCell="A1">
      <selection pane="topLeft" activeCell="A7" sqref="A7:XFD27"/>
    </sheetView>
  </sheetViews>
  <sheetFormatPr defaultColWidth="11.424285714285714" defaultRowHeight="15"/>
  <cols>
    <col min="1" max="1" width="15.142857142857142" style="3" customWidth="1"/>
    <col min="2" max="4" width="14.714285714285714" style="3" customWidth="1"/>
    <col min="5" max="5" width="15.714285714285714" style="236" customWidth="1"/>
    <col min="6" max="6" width="14.714285714285714" style="3" customWidth="1"/>
    <col min="7" max="7" width="15.714285714285714" style="236" customWidth="1"/>
    <col min="8" max="11" width="15.714285714285714" style="3" customWidth="1"/>
    <col min="12" max="16384" width="11.428571428571429" style="3"/>
  </cols>
  <sheetData>
    <row r="1" spans="1:11" ht="12.75" customHeight="1">
      <c r="A1" s="1" t="s">
        <v>35</v>
      </c>
      <c r="B1" s="1"/>
      <c r="C1" s="1"/>
      <c r="D1" s="1"/>
      <c r="E1" s="216"/>
      <c r="F1" s="1"/>
      <c r="G1" s="216"/>
      <c r="H1" s="2"/>
      <c r="I1" s="2"/>
      <c r="J1" s="2"/>
      <c r="K1" s="2"/>
    </row>
    <row r="2" spans="1:11" ht="12.75" customHeight="1">
      <c r="A2" s="2"/>
      <c r="B2" s="2"/>
      <c r="C2" s="2"/>
      <c r="D2" s="2"/>
      <c r="E2" s="216"/>
      <c r="F2" s="2"/>
      <c r="G2" s="216"/>
      <c r="H2" s="2"/>
      <c r="I2" s="2"/>
      <c r="J2" s="2"/>
      <c r="K2" s="72"/>
    </row>
    <row r="3" spans="1:11" ht="15" customHeight="1">
      <c r="A3" s="284" t="s">
        <v>301</v>
      </c>
      <c r="B3" s="284"/>
      <c r="C3" s="284"/>
      <c r="D3" s="284"/>
      <c r="E3" s="284"/>
      <c r="F3" s="284"/>
      <c r="G3" s="284"/>
      <c r="H3" s="284"/>
      <c r="I3" s="284"/>
      <c r="J3" s="284"/>
      <c r="K3" s="74" t="s">
        <v>3889</v>
      </c>
    </row>
    <row r="4" spans="1:11" ht="12.75" customHeight="1">
      <c r="A4" s="4"/>
      <c r="B4" s="4"/>
      <c r="C4" s="4"/>
      <c r="D4" s="4"/>
      <c r="E4" s="218"/>
      <c r="F4" s="4"/>
      <c r="G4" s="218"/>
      <c r="H4" s="4"/>
      <c r="I4" s="4"/>
      <c r="J4" s="4"/>
      <c r="K4" s="5"/>
    </row>
    <row r="5" spans="1:11" ht="15">
      <c r="A5" s="287" t="s">
        <v>5</v>
      </c>
      <c r="B5" s="303" t="s">
        <v>26</v>
      </c>
      <c r="C5" s="103"/>
      <c r="D5" s="287" t="s">
        <v>17</v>
      </c>
      <c r="E5" s="300" t="s">
        <v>16</v>
      </c>
      <c r="F5" s="301"/>
      <c r="G5" s="301"/>
      <c r="H5" s="302"/>
      <c r="I5" s="287" t="s">
        <v>7</v>
      </c>
      <c r="J5" s="294" t="s">
        <v>21</v>
      </c>
      <c r="K5" s="295"/>
    </row>
    <row r="6" spans="1:11" ht="15">
      <c r="A6" s="288"/>
      <c r="B6" s="304"/>
      <c r="C6" s="104"/>
      <c r="D6" s="288"/>
      <c r="E6" s="300" t="s">
        <v>2</v>
      </c>
      <c r="F6" s="301"/>
      <c r="G6" s="301"/>
      <c r="H6" s="302"/>
      <c r="I6" s="288"/>
      <c r="J6" s="296"/>
      <c r="K6" s="297"/>
    </row>
    <row r="7" spans="1:11" ht="15" customHeight="1">
      <c r="A7" s="253"/>
      <c r="B7" s="8"/>
      <c r="C7" s="9"/>
      <c r="D7" s="273"/>
      <c r="E7" s="230"/>
      <c r="F7" s="10"/>
      <c r="G7" s="220"/>
      <c r="H7" s="12"/>
      <c r="I7" s="268"/>
      <c r="J7" s="8"/>
      <c r="K7" s="9"/>
    </row>
    <row r="8" spans="1:11" ht="15" customHeight="1">
      <c r="A8" s="253"/>
      <c r="B8" s="8"/>
      <c r="C8" s="9"/>
      <c r="D8" s="273"/>
      <c r="E8" s="230"/>
      <c r="F8" s="10"/>
      <c r="G8" s="220"/>
      <c r="H8" s="12"/>
      <c r="I8" s="268"/>
      <c r="J8" s="8"/>
      <c r="K8" s="9"/>
    </row>
    <row r="9" spans="1:11" ht="15" customHeight="1">
      <c r="A9" s="242"/>
      <c r="B9" s="8"/>
      <c r="C9" s="9"/>
      <c r="D9" s="252"/>
      <c r="E9" s="230"/>
      <c r="F9" s="10"/>
      <c r="G9" s="220"/>
      <c r="H9" s="12"/>
      <c r="I9" s="268"/>
      <c r="J9" s="8"/>
      <c r="K9" s="9"/>
    </row>
    <row r="10" spans="1:11" ht="15">
      <c r="A10" s="17"/>
      <c r="B10" s="18"/>
      <c r="C10" s="18"/>
      <c r="D10" s="18"/>
      <c r="E10" s="223"/>
      <c r="F10" s="18"/>
      <c r="G10" s="298" t="s">
        <v>19</v>
      </c>
      <c r="H10" s="299"/>
      <c r="I10" s="19">
        <f>SUM(I7:I9)</f>
        <v>0</v>
      </c>
      <c r="J10" s="20"/>
      <c r="K10" s="21"/>
    </row>
    <row r="11" spans="1:11" ht="15">
      <c r="A11" s="287" t="s">
        <v>5</v>
      </c>
      <c r="B11" s="32" t="s">
        <v>13</v>
      </c>
      <c r="C11" s="101" t="s">
        <v>20</v>
      </c>
      <c r="D11" s="24" t="s">
        <v>20</v>
      </c>
      <c r="E11" s="300" t="s">
        <v>15</v>
      </c>
      <c r="F11" s="301"/>
      <c r="G11" s="301"/>
      <c r="H11" s="302"/>
      <c r="I11" s="287" t="s">
        <v>7</v>
      </c>
      <c r="J11" s="287" t="s">
        <v>6</v>
      </c>
      <c r="K11" s="101" t="s">
        <v>0</v>
      </c>
    </row>
    <row r="12" spans="1:11" ht="15">
      <c r="A12" s="288"/>
      <c r="B12" s="102" t="s">
        <v>14</v>
      </c>
      <c r="C12" s="102" t="s">
        <v>11</v>
      </c>
      <c r="D12" s="102" t="s">
        <v>10</v>
      </c>
      <c r="E12" s="300" t="s">
        <v>2</v>
      </c>
      <c r="F12" s="302"/>
      <c r="G12" s="300" t="s">
        <v>8</v>
      </c>
      <c r="H12" s="302"/>
      <c r="I12" s="288"/>
      <c r="J12" s="288"/>
      <c r="K12" s="102" t="s">
        <v>1</v>
      </c>
    </row>
    <row r="13" spans="1:11" ht="12.75" customHeight="1">
      <c r="A13" s="25">
        <v>44202</v>
      </c>
      <c r="B13" s="107">
        <v>34</v>
      </c>
      <c r="C13" s="69">
        <v>4</v>
      </c>
      <c r="D13" s="69">
        <v>16</v>
      </c>
      <c r="E13" s="224" t="s">
        <v>537</v>
      </c>
      <c r="F13" s="10"/>
      <c r="G13" s="237" t="s">
        <v>90</v>
      </c>
      <c r="H13" s="7"/>
      <c r="I13" s="26">
        <f>96938667-90385067</f>
        <v>6553600</v>
      </c>
      <c r="J13" s="268">
        <v>6553600</v>
      </c>
      <c r="K13" s="26">
        <f>+I13-J13</f>
        <v>0</v>
      </c>
    </row>
    <row r="14" spans="1:11" ht="15">
      <c r="A14" s="25">
        <v>44203</v>
      </c>
      <c r="B14" s="28">
        <v>5</v>
      </c>
      <c r="C14" s="71">
        <v>71</v>
      </c>
      <c r="D14" s="71">
        <v>42</v>
      </c>
      <c r="E14" s="224" t="s">
        <v>472</v>
      </c>
      <c r="F14" s="29"/>
      <c r="G14" s="238" t="s">
        <v>94</v>
      </c>
      <c r="H14" s="30"/>
      <c r="I14" s="26">
        <v>54400000</v>
      </c>
      <c r="J14" s="268">
        <v>54400000</v>
      </c>
      <c r="K14" s="26">
        <f t="shared" si="0" ref="K14:K77">+I14-J14</f>
        <v>0</v>
      </c>
    </row>
    <row r="15" spans="1:11" ht="15">
      <c r="A15" s="25">
        <v>44203</v>
      </c>
      <c r="B15" s="28">
        <v>4</v>
      </c>
      <c r="C15" s="71">
        <v>72</v>
      </c>
      <c r="D15" s="71">
        <v>47</v>
      </c>
      <c r="E15" s="116" t="s">
        <v>538</v>
      </c>
      <c r="F15" s="29"/>
      <c r="G15" s="115" t="s">
        <v>165</v>
      </c>
      <c r="H15" s="30"/>
      <c r="I15" s="151">
        <f>54400000-48960000</f>
        <v>5440000</v>
      </c>
      <c r="J15" s="268">
        <v>5440000</v>
      </c>
      <c r="K15" s="26">
        <f t="shared" si="0"/>
        <v>0</v>
      </c>
    </row>
    <row r="16" spans="1:11" ht="15">
      <c r="A16" s="25">
        <v>44204</v>
      </c>
      <c r="B16" s="28">
        <v>78</v>
      </c>
      <c r="C16" s="71">
        <v>134</v>
      </c>
      <c r="D16" s="71">
        <v>63</v>
      </c>
      <c r="E16" s="116" t="s">
        <v>539</v>
      </c>
      <c r="F16" s="29"/>
      <c r="G16" s="115" t="s">
        <v>532</v>
      </c>
      <c r="H16" s="30"/>
      <c r="I16" s="151">
        <v>57500000</v>
      </c>
      <c r="J16" s="268">
        <v>57500000</v>
      </c>
      <c r="K16" s="26">
        <f t="shared" si="0"/>
        <v>0</v>
      </c>
    </row>
    <row r="17" spans="1:11" ht="15">
      <c r="A17" s="25">
        <v>44204</v>
      </c>
      <c r="B17" s="28">
        <v>77</v>
      </c>
      <c r="C17" s="71">
        <v>135</v>
      </c>
      <c r="D17" s="71">
        <v>64</v>
      </c>
      <c r="E17" s="116" t="s">
        <v>540</v>
      </c>
      <c r="F17" s="29"/>
      <c r="G17" s="115" t="s">
        <v>215</v>
      </c>
      <c r="H17" s="30"/>
      <c r="I17" s="151">
        <v>76544000</v>
      </c>
      <c r="J17" s="268">
        <v>68334934</v>
      </c>
      <c r="K17" s="26">
        <f t="shared" si="0"/>
        <v>8209066</v>
      </c>
    </row>
    <row r="18" spans="1:11" ht="15">
      <c r="A18" s="25">
        <v>44204</v>
      </c>
      <c r="B18" s="28">
        <v>79</v>
      </c>
      <c r="C18" s="71">
        <v>133</v>
      </c>
      <c r="D18" s="71">
        <v>72</v>
      </c>
      <c r="E18" s="116" t="s">
        <v>541</v>
      </c>
      <c r="F18" s="29"/>
      <c r="G18" s="115" t="s">
        <v>196</v>
      </c>
      <c r="H18" s="30"/>
      <c r="I18" s="151">
        <f>97750000-87550000</f>
        <v>10200000</v>
      </c>
      <c r="J18" s="268">
        <v>10200000</v>
      </c>
      <c r="K18" s="26">
        <f t="shared" si="0"/>
        <v>0</v>
      </c>
    </row>
    <row r="19" spans="1:11" ht="15">
      <c r="A19" s="25">
        <v>44208</v>
      </c>
      <c r="B19" s="28">
        <v>83</v>
      </c>
      <c r="C19" s="71">
        <v>117</v>
      </c>
      <c r="D19" s="71">
        <v>84</v>
      </c>
      <c r="E19" s="116" t="s">
        <v>542</v>
      </c>
      <c r="F19" s="29"/>
      <c r="G19" s="115" t="s">
        <v>78</v>
      </c>
      <c r="H19" s="30"/>
      <c r="I19" s="151">
        <v>73482240</v>
      </c>
      <c r="J19" s="268">
        <v>73482240</v>
      </c>
      <c r="K19" s="26">
        <f t="shared" si="0"/>
        <v>0</v>
      </c>
    </row>
    <row r="20" spans="1:11" ht="15">
      <c r="A20" s="25">
        <v>44208</v>
      </c>
      <c r="B20" s="28">
        <v>82</v>
      </c>
      <c r="C20" s="71">
        <v>145</v>
      </c>
      <c r="D20" s="71">
        <v>88</v>
      </c>
      <c r="E20" s="116" t="s">
        <v>543</v>
      </c>
      <c r="F20" s="29"/>
      <c r="G20" s="115" t="s">
        <v>159</v>
      </c>
      <c r="H20" s="30"/>
      <c r="I20" s="151">
        <v>73482240</v>
      </c>
      <c r="J20" s="268">
        <v>73482240</v>
      </c>
      <c r="K20" s="26">
        <f t="shared" si="0"/>
        <v>0</v>
      </c>
    </row>
    <row r="21" spans="1:11" ht="15">
      <c r="A21" s="25">
        <v>44208</v>
      </c>
      <c r="B21" s="28">
        <v>6</v>
      </c>
      <c r="C21" s="71">
        <v>169</v>
      </c>
      <c r="D21" s="71">
        <v>92</v>
      </c>
      <c r="E21" s="116" t="s">
        <v>544</v>
      </c>
      <c r="F21" s="29"/>
      <c r="G21" s="115" t="s">
        <v>200</v>
      </c>
      <c r="H21" s="30"/>
      <c r="I21" s="151">
        <v>61440000</v>
      </c>
      <c r="J21" s="268">
        <v>61440000</v>
      </c>
      <c r="K21" s="26">
        <f t="shared" si="0"/>
        <v>0</v>
      </c>
    </row>
    <row r="22" spans="1:11" ht="15">
      <c r="A22" s="25">
        <v>44208</v>
      </c>
      <c r="B22" s="28">
        <v>109</v>
      </c>
      <c r="C22" s="71">
        <v>182</v>
      </c>
      <c r="D22" s="71">
        <v>111</v>
      </c>
      <c r="E22" s="116" t="s">
        <v>545</v>
      </c>
      <c r="F22" s="29"/>
      <c r="G22" s="115" t="s">
        <v>197</v>
      </c>
      <c r="H22" s="30"/>
      <c r="I22" s="151">
        <f>92000000-60533333</f>
        <v>31466667</v>
      </c>
      <c r="J22" s="268">
        <v>31466667</v>
      </c>
      <c r="K22" s="26">
        <f t="shared" si="0"/>
        <v>0</v>
      </c>
    </row>
    <row r="23" spans="1:11" ht="15">
      <c r="A23" s="25">
        <v>44208</v>
      </c>
      <c r="B23" s="28">
        <v>119</v>
      </c>
      <c r="C23" s="71">
        <v>189</v>
      </c>
      <c r="D23" s="71">
        <v>113</v>
      </c>
      <c r="E23" s="116" t="s">
        <v>546</v>
      </c>
      <c r="F23" s="29"/>
      <c r="G23" s="115" t="s">
        <v>240</v>
      </c>
      <c r="H23" s="30"/>
      <c r="I23" s="151">
        <v>88320000</v>
      </c>
      <c r="J23" s="268">
        <v>88320000</v>
      </c>
      <c r="K23" s="26">
        <f t="shared" si="0"/>
        <v>0</v>
      </c>
    </row>
    <row r="24" spans="1:11" ht="15">
      <c r="A24" s="25">
        <v>44209</v>
      </c>
      <c r="B24" s="28">
        <v>137</v>
      </c>
      <c r="C24" s="71">
        <v>190</v>
      </c>
      <c r="D24" s="71">
        <v>129</v>
      </c>
      <c r="E24" s="116" t="s">
        <v>547</v>
      </c>
      <c r="F24" s="29"/>
      <c r="G24" s="115" t="s">
        <v>237</v>
      </c>
      <c r="H24" s="30"/>
      <c r="I24" s="151">
        <v>88791040</v>
      </c>
      <c r="J24" s="268">
        <v>88791040</v>
      </c>
      <c r="K24" s="26">
        <f t="shared" si="0"/>
        <v>0</v>
      </c>
    </row>
    <row r="25" spans="1:11" ht="15">
      <c r="A25" s="25">
        <v>44209</v>
      </c>
      <c r="B25" s="28">
        <v>141</v>
      </c>
      <c r="C25" s="71">
        <v>200</v>
      </c>
      <c r="D25" s="71">
        <v>136</v>
      </c>
      <c r="E25" s="116" t="s">
        <v>548</v>
      </c>
      <c r="F25" s="29"/>
      <c r="G25" s="115" t="s">
        <v>164</v>
      </c>
      <c r="H25" s="30"/>
      <c r="I25" s="151">
        <v>49459200</v>
      </c>
      <c r="J25" s="268">
        <v>49315840</v>
      </c>
      <c r="K25" s="26">
        <f t="shared" si="0"/>
        <v>143360</v>
      </c>
    </row>
    <row r="26" spans="1:11" ht="15">
      <c r="A26" s="25">
        <v>44210</v>
      </c>
      <c r="B26" s="28">
        <v>165</v>
      </c>
      <c r="C26" s="71">
        <v>218</v>
      </c>
      <c r="D26" s="71">
        <v>160</v>
      </c>
      <c r="E26" s="116" t="s">
        <v>549</v>
      </c>
      <c r="F26" s="29"/>
      <c r="G26" s="115" t="s">
        <v>369</v>
      </c>
      <c r="H26" s="30"/>
      <c r="I26" s="151">
        <v>57500000</v>
      </c>
      <c r="J26" s="268">
        <v>57500000</v>
      </c>
      <c r="K26" s="26">
        <f t="shared" si="0"/>
        <v>0</v>
      </c>
    </row>
    <row r="27" spans="1:11" ht="15">
      <c r="A27" s="25">
        <v>44211</v>
      </c>
      <c r="B27" s="28">
        <v>169</v>
      </c>
      <c r="C27" s="71">
        <v>219</v>
      </c>
      <c r="D27" s="71">
        <v>164</v>
      </c>
      <c r="E27" s="116" t="s">
        <v>550</v>
      </c>
      <c r="F27" s="29"/>
      <c r="G27" s="115" t="s">
        <v>245</v>
      </c>
      <c r="H27" s="30"/>
      <c r="I27" s="151">
        <v>58880000</v>
      </c>
      <c r="J27" s="268">
        <v>58880000</v>
      </c>
      <c r="K27" s="26">
        <f t="shared" si="0"/>
        <v>0</v>
      </c>
    </row>
    <row r="28" spans="1:11" ht="15">
      <c r="A28" s="25">
        <v>44211</v>
      </c>
      <c r="B28" s="28">
        <v>194</v>
      </c>
      <c r="C28" s="71">
        <v>281</v>
      </c>
      <c r="D28" s="71">
        <v>190</v>
      </c>
      <c r="E28" s="116" t="s">
        <v>551</v>
      </c>
      <c r="F28" s="29"/>
      <c r="G28" s="115" t="s">
        <v>195</v>
      </c>
      <c r="H28" s="30"/>
      <c r="I28" s="151">
        <v>76544000</v>
      </c>
      <c r="J28" s="268">
        <v>75656534</v>
      </c>
      <c r="K28" s="26">
        <f t="shared" si="0"/>
        <v>887466</v>
      </c>
    </row>
    <row r="29" spans="1:11" ht="15">
      <c r="A29" s="25">
        <v>44211</v>
      </c>
      <c r="B29" s="28">
        <v>195</v>
      </c>
      <c r="C29" s="71">
        <v>210</v>
      </c>
      <c r="D29" s="71">
        <v>191</v>
      </c>
      <c r="E29" s="116" t="s">
        <v>552</v>
      </c>
      <c r="F29" s="29"/>
      <c r="G29" s="115" t="s">
        <v>313</v>
      </c>
      <c r="H29" s="30"/>
      <c r="I29" s="151">
        <v>47104000</v>
      </c>
      <c r="J29" s="268">
        <v>46830933</v>
      </c>
      <c r="K29" s="26">
        <f t="shared" si="0"/>
        <v>273067</v>
      </c>
    </row>
    <row r="30" spans="1:11" ht="15">
      <c r="A30" s="25">
        <v>44212</v>
      </c>
      <c r="B30" s="28">
        <v>205</v>
      </c>
      <c r="C30" s="71">
        <v>277</v>
      </c>
      <c r="D30" s="71">
        <v>206</v>
      </c>
      <c r="E30" s="116" t="s">
        <v>553</v>
      </c>
      <c r="F30" s="29"/>
      <c r="G30" s="115" t="s">
        <v>87</v>
      </c>
      <c r="H30" s="30"/>
      <c r="I30" s="151">
        <v>68782547</v>
      </c>
      <c r="J30" s="268">
        <v>68184437</v>
      </c>
      <c r="K30" s="26">
        <f t="shared" si="0"/>
        <v>598110</v>
      </c>
    </row>
    <row r="31" spans="1:11" ht="15">
      <c r="A31" s="25">
        <v>44214</v>
      </c>
      <c r="B31" s="28">
        <v>227</v>
      </c>
      <c r="C31" s="71">
        <v>280</v>
      </c>
      <c r="D31" s="71">
        <v>210</v>
      </c>
      <c r="E31" s="116" t="s">
        <v>554</v>
      </c>
      <c r="F31" s="29"/>
      <c r="G31" s="115" t="s">
        <v>89</v>
      </c>
      <c r="H31" s="30"/>
      <c r="I31" s="151">
        <f>75366400-52865707</f>
        <v>22500693</v>
      </c>
      <c r="J31" s="268">
        <v>22500693</v>
      </c>
      <c r="K31" s="26">
        <f t="shared" si="0"/>
        <v>0</v>
      </c>
    </row>
    <row r="32" spans="1:11" ht="15">
      <c r="A32" s="25">
        <v>44214</v>
      </c>
      <c r="B32" s="28">
        <v>226</v>
      </c>
      <c r="C32" s="71">
        <v>295</v>
      </c>
      <c r="D32" s="71">
        <v>211</v>
      </c>
      <c r="E32" s="116" t="s">
        <v>555</v>
      </c>
      <c r="F32" s="29"/>
      <c r="G32" s="115" t="s">
        <v>316</v>
      </c>
      <c r="H32" s="30"/>
      <c r="I32" s="151">
        <v>70656000</v>
      </c>
      <c r="J32" s="268">
        <v>70246400</v>
      </c>
      <c r="K32" s="26">
        <f t="shared" si="0"/>
        <v>409600</v>
      </c>
    </row>
    <row r="33" spans="1:11" ht="15">
      <c r="A33" s="25">
        <v>44214</v>
      </c>
      <c r="B33" s="28">
        <v>225</v>
      </c>
      <c r="C33" s="71">
        <v>282</v>
      </c>
      <c r="D33" s="71">
        <v>224</v>
      </c>
      <c r="E33" s="116" t="s">
        <v>556</v>
      </c>
      <c r="F33" s="29"/>
      <c r="G33" s="115" t="s">
        <v>166</v>
      </c>
      <c r="H33" s="30"/>
      <c r="I33" s="151">
        <v>73600000</v>
      </c>
      <c r="J33" s="268">
        <v>72746667</v>
      </c>
      <c r="K33" s="26">
        <f t="shared" si="0"/>
        <v>853333</v>
      </c>
    </row>
    <row r="34" spans="1:11" ht="15">
      <c r="A34" s="25">
        <v>44214</v>
      </c>
      <c r="B34" s="28">
        <v>229</v>
      </c>
      <c r="C34" s="71">
        <v>262</v>
      </c>
      <c r="D34" s="71">
        <v>225</v>
      </c>
      <c r="E34" s="116" t="s">
        <v>557</v>
      </c>
      <c r="F34" s="29"/>
      <c r="G34" s="115" t="s">
        <v>257</v>
      </c>
      <c r="H34" s="30"/>
      <c r="I34" s="151">
        <v>88320000</v>
      </c>
      <c r="J34" s="268">
        <v>79616000</v>
      </c>
      <c r="K34" s="26">
        <f t="shared" si="0"/>
        <v>8704000</v>
      </c>
    </row>
    <row r="35" spans="1:11" ht="15">
      <c r="A35" s="25">
        <v>44217</v>
      </c>
      <c r="B35" s="28">
        <v>266</v>
      </c>
      <c r="C35" s="71">
        <v>322</v>
      </c>
      <c r="D35" s="71">
        <v>264</v>
      </c>
      <c r="E35" s="116" t="s">
        <v>552</v>
      </c>
      <c r="F35" s="29"/>
      <c r="G35" s="115" t="s">
        <v>82</v>
      </c>
      <c r="H35" s="30"/>
      <c r="I35" s="151">
        <v>72960000</v>
      </c>
      <c r="J35" s="268">
        <v>72960000</v>
      </c>
      <c r="K35" s="26">
        <f t="shared" si="0"/>
        <v>0</v>
      </c>
    </row>
    <row r="36" spans="1:11" ht="15">
      <c r="A36" s="27">
        <v>44217</v>
      </c>
      <c r="B36" s="28">
        <v>263</v>
      </c>
      <c r="C36" s="28">
        <v>323</v>
      </c>
      <c r="D36" s="28">
        <v>265</v>
      </c>
      <c r="E36" s="116" t="s">
        <v>552</v>
      </c>
      <c r="F36" s="29"/>
      <c r="G36" s="115" t="s">
        <v>368</v>
      </c>
      <c r="H36" s="15"/>
      <c r="I36" s="151">
        <v>51200000</v>
      </c>
      <c r="J36" s="268">
        <v>51200000</v>
      </c>
      <c r="K36" s="26">
        <f t="shared" si="0"/>
        <v>0</v>
      </c>
    </row>
    <row r="37" spans="1:11" ht="15">
      <c r="A37" s="27">
        <v>44217</v>
      </c>
      <c r="B37" s="28">
        <v>259</v>
      </c>
      <c r="C37" s="28">
        <v>313</v>
      </c>
      <c r="D37" s="28">
        <v>270</v>
      </c>
      <c r="E37" s="116" t="s">
        <v>558</v>
      </c>
      <c r="F37" s="29"/>
      <c r="G37" s="115" t="s">
        <v>263</v>
      </c>
      <c r="H37" s="15"/>
      <c r="I37" s="151">
        <v>82432000</v>
      </c>
      <c r="J37" s="268">
        <v>80998400</v>
      </c>
      <c r="K37" s="26">
        <f t="shared" si="0"/>
        <v>1433600</v>
      </c>
    </row>
    <row r="38" spans="1:11" ht="15">
      <c r="A38" s="166">
        <v>44217</v>
      </c>
      <c r="B38" s="28">
        <v>258</v>
      </c>
      <c r="C38" s="168">
        <v>309</v>
      </c>
      <c r="D38" s="28">
        <v>271</v>
      </c>
      <c r="E38" s="115" t="s">
        <v>559</v>
      </c>
      <c r="F38" s="29"/>
      <c r="G38" s="115" t="s">
        <v>404</v>
      </c>
      <c r="H38" s="15"/>
      <c r="I38" s="151">
        <v>84930560</v>
      </c>
      <c r="J38" s="268">
        <v>84930560</v>
      </c>
      <c r="K38" s="26">
        <f t="shared" si="0"/>
        <v>0</v>
      </c>
    </row>
    <row r="39" spans="1:11" ht="15">
      <c r="A39" s="166">
        <v>44217</v>
      </c>
      <c r="B39" s="28">
        <v>262</v>
      </c>
      <c r="C39" s="168">
        <v>332</v>
      </c>
      <c r="D39" s="28">
        <v>283</v>
      </c>
      <c r="E39" s="115" t="s">
        <v>552</v>
      </c>
      <c r="F39" s="29"/>
      <c r="G39" s="115" t="s">
        <v>533</v>
      </c>
      <c r="H39" s="15"/>
      <c r="I39" s="151">
        <v>40960000</v>
      </c>
      <c r="J39" s="268">
        <v>40960000</v>
      </c>
      <c r="K39" s="26">
        <f t="shared" si="0"/>
        <v>0</v>
      </c>
    </row>
    <row r="40" spans="1:11" ht="15">
      <c r="A40" s="166">
        <v>44218</v>
      </c>
      <c r="B40" s="28">
        <v>275</v>
      </c>
      <c r="C40" s="168">
        <v>333</v>
      </c>
      <c r="D40" s="28">
        <v>294</v>
      </c>
      <c r="E40" s="115" t="s">
        <v>552</v>
      </c>
      <c r="F40" s="29"/>
      <c r="G40" s="115" t="s">
        <v>534</v>
      </c>
      <c r="H40" s="15"/>
      <c r="I40" s="151">
        <v>49152000</v>
      </c>
      <c r="J40" s="268">
        <v>49152000</v>
      </c>
      <c r="K40" s="26">
        <f t="shared" si="0"/>
        <v>0</v>
      </c>
    </row>
    <row r="41" spans="1:11" ht="15">
      <c r="A41" s="166">
        <v>44221</v>
      </c>
      <c r="B41" s="28">
        <v>284</v>
      </c>
      <c r="C41" s="168">
        <v>351</v>
      </c>
      <c r="D41" s="28">
        <v>310</v>
      </c>
      <c r="E41" s="115" t="s">
        <v>560</v>
      </c>
      <c r="F41" s="29"/>
      <c r="G41" s="115" t="s">
        <v>405</v>
      </c>
      <c r="H41" s="15"/>
      <c r="I41" s="151">
        <v>58880000</v>
      </c>
      <c r="J41" s="268">
        <v>57002667</v>
      </c>
      <c r="K41" s="26">
        <f t="shared" si="0"/>
        <v>1877333</v>
      </c>
    </row>
    <row r="42" spans="1:11" ht="15">
      <c r="A42" s="166">
        <v>44221</v>
      </c>
      <c r="B42" s="28">
        <v>315</v>
      </c>
      <c r="C42" s="168">
        <v>428</v>
      </c>
      <c r="D42" s="28">
        <v>311</v>
      </c>
      <c r="E42" s="115" t="s">
        <v>541</v>
      </c>
      <c r="F42" s="29"/>
      <c r="G42" s="115" t="s">
        <v>535</v>
      </c>
      <c r="H42" s="15"/>
      <c r="I42" s="151">
        <v>78166667</v>
      </c>
      <c r="J42" s="268">
        <v>71166667</v>
      </c>
      <c r="K42" s="26">
        <f t="shared" si="0"/>
        <v>7000000</v>
      </c>
    </row>
    <row r="43" spans="1:11" ht="15">
      <c r="A43" s="166">
        <v>44221</v>
      </c>
      <c r="B43" s="28">
        <v>314</v>
      </c>
      <c r="C43" s="168">
        <v>419</v>
      </c>
      <c r="D43" s="28">
        <v>324</v>
      </c>
      <c r="E43" s="115" t="s">
        <v>561</v>
      </c>
      <c r="F43" s="29"/>
      <c r="G43" s="115" t="s">
        <v>359</v>
      </c>
      <c r="H43" s="15"/>
      <c r="I43" s="151">
        <v>75468800</v>
      </c>
      <c r="J43" s="268">
        <v>75468800</v>
      </c>
      <c r="K43" s="26">
        <f t="shared" si="0"/>
        <v>0</v>
      </c>
    </row>
    <row r="44" spans="1:11" ht="15">
      <c r="A44" s="166">
        <v>44222</v>
      </c>
      <c r="B44" s="28">
        <v>293</v>
      </c>
      <c r="C44" s="168">
        <v>383</v>
      </c>
      <c r="D44" s="28">
        <v>344</v>
      </c>
      <c r="E44" s="115" t="s">
        <v>562</v>
      </c>
      <c r="F44" s="29"/>
      <c r="G44" s="115" t="s">
        <v>92</v>
      </c>
      <c r="H44" s="15"/>
      <c r="I44" s="151">
        <f>57173333-42666666</f>
        <v>14506667</v>
      </c>
      <c r="J44" s="268">
        <v>14506667</v>
      </c>
      <c r="K44" s="26">
        <f t="shared" si="0"/>
        <v>0</v>
      </c>
    </row>
    <row r="45" spans="1:11" ht="15">
      <c r="A45" s="166">
        <v>44223</v>
      </c>
      <c r="B45" s="28">
        <v>345</v>
      </c>
      <c r="C45" s="168">
        <v>408</v>
      </c>
      <c r="D45" s="28">
        <v>356</v>
      </c>
      <c r="E45" s="115" t="s">
        <v>560</v>
      </c>
      <c r="F45" s="29"/>
      <c r="G45" s="115" t="s">
        <v>314</v>
      </c>
      <c r="H45" s="15"/>
      <c r="I45" s="151">
        <v>58880000</v>
      </c>
      <c r="J45" s="268">
        <v>56320000</v>
      </c>
      <c r="K45" s="26">
        <f t="shared" si="0"/>
        <v>2560000</v>
      </c>
    </row>
    <row r="46" spans="1:11" ht="15">
      <c r="A46" s="166">
        <v>44223</v>
      </c>
      <c r="B46" s="28">
        <v>346</v>
      </c>
      <c r="C46" s="168">
        <v>409</v>
      </c>
      <c r="D46" s="28">
        <v>368</v>
      </c>
      <c r="E46" s="115" t="s">
        <v>563</v>
      </c>
      <c r="F46" s="29"/>
      <c r="G46" s="115" t="s">
        <v>350</v>
      </c>
      <c r="H46" s="15"/>
      <c r="I46" s="151">
        <v>43776000</v>
      </c>
      <c r="J46" s="268">
        <v>43776000</v>
      </c>
      <c r="K46" s="26">
        <f t="shared" si="0"/>
        <v>0</v>
      </c>
    </row>
    <row r="47" spans="1:11" ht="15">
      <c r="A47" s="166">
        <v>44223</v>
      </c>
      <c r="B47" s="28">
        <v>355</v>
      </c>
      <c r="C47" s="168">
        <v>453</v>
      </c>
      <c r="D47" s="28">
        <v>369</v>
      </c>
      <c r="E47" s="115" t="s">
        <v>564</v>
      </c>
      <c r="F47" s="29"/>
      <c r="G47" s="115" t="s">
        <v>429</v>
      </c>
      <c r="H47" s="15"/>
      <c r="I47" s="151">
        <v>56320000</v>
      </c>
      <c r="J47" s="268">
        <v>56320000</v>
      </c>
      <c r="K47" s="26">
        <f t="shared" si="0"/>
        <v>0</v>
      </c>
    </row>
    <row r="48" spans="1:11" ht="15">
      <c r="A48" s="166">
        <v>44223</v>
      </c>
      <c r="B48" s="28">
        <v>296</v>
      </c>
      <c r="C48" s="168">
        <v>390</v>
      </c>
      <c r="D48" s="28">
        <v>373</v>
      </c>
      <c r="E48" s="115" t="s">
        <v>565</v>
      </c>
      <c r="F48" s="29"/>
      <c r="G48" s="115" t="s">
        <v>342</v>
      </c>
      <c r="H48" s="15"/>
      <c r="I48" s="151">
        <v>28586667</v>
      </c>
      <c r="J48" s="268">
        <v>28416000</v>
      </c>
      <c r="K48" s="26">
        <f t="shared" si="0"/>
        <v>170667</v>
      </c>
    </row>
    <row r="49" spans="1:11" ht="15">
      <c r="A49" s="166">
        <v>44223</v>
      </c>
      <c r="B49" s="28">
        <v>366</v>
      </c>
      <c r="C49" s="168">
        <v>445</v>
      </c>
      <c r="D49" s="28">
        <v>375</v>
      </c>
      <c r="E49" s="115" t="s">
        <v>557</v>
      </c>
      <c r="F49" s="29"/>
      <c r="G49" s="115" t="s">
        <v>201</v>
      </c>
      <c r="H49" s="15"/>
      <c r="I49" s="151">
        <f>56320000-39594667</f>
        <v>16725333</v>
      </c>
      <c r="J49" s="268">
        <v>16725333</v>
      </c>
      <c r="K49" s="26">
        <f t="shared" si="0"/>
        <v>0</v>
      </c>
    </row>
    <row r="50" spans="1:11" ht="15">
      <c r="A50" s="166">
        <v>44223</v>
      </c>
      <c r="B50" s="28">
        <v>367</v>
      </c>
      <c r="C50" s="168">
        <v>459</v>
      </c>
      <c r="D50" s="28">
        <v>376</v>
      </c>
      <c r="E50" s="115" t="s">
        <v>566</v>
      </c>
      <c r="F50" s="29"/>
      <c r="G50" s="115" t="s">
        <v>536</v>
      </c>
      <c r="H50" s="15"/>
      <c r="I50" s="151">
        <v>45056000</v>
      </c>
      <c r="J50" s="268">
        <v>45056000</v>
      </c>
      <c r="K50" s="26">
        <f t="shared" si="0"/>
        <v>0</v>
      </c>
    </row>
    <row r="51" spans="1:11" ht="15">
      <c r="A51" s="166">
        <v>44224</v>
      </c>
      <c r="B51" s="28">
        <v>372</v>
      </c>
      <c r="C51" s="168">
        <v>451</v>
      </c>
      <c r="D51" s="28">
        <v>378</v>
      </c>
      <c r="E51" s="115" t="s">
        <v>567</v>
      </c>
      <c r="F51" s="29"/>
      <c r="G51" s="115" t="s">
        <v>93</v>
      </c>
      <c r="H51" s="15"/>
      <c r="I51" s="151">
        <v>44000000</v>
      </c>
      <c r="J51" s="268">
        <v>43600000</v>
      </c>
      <c r="K51" s="26">
        <f t="shared" si="0"/>
        <v>400000</v>
      </c>
    </row>
    <row r="52" spans="1:11" ht="15">
      <c r="A52" s="166">
        <v>44224</v>
      </c>
      <c r="B52" s="28">
        <v>332</v>
      </c>
      <c r="C52" s="168">
        <v>425</v>
      </c>
      <c r="D52" s="28">
        <v>389</v>
      </c>
      <c r="E52" s="115" t="s">
        <v>562</v>
      </c>
      <c r="F52" s="29"/>
      <c r="G52" s="188" t="s">
        <v>394</v>
      </c>
      <c r="H52" s="15"/>
      <c r="I52" s="151">
        <v>68608000</v>
      </c>
      <c r="J52" s="268">
        <v>67379200</v>
      </c>
      <c r="K52" s="26">
        <f t="shared" si="0"/>
        <v>1228800</v>
      </c>
    </row>
    <row r="53" spans="1:11" ht="15">
      <c r="A53" s="166">
        <v>44224</v>
      </c>
      <c r="B53" s="28">
        <v>373</v>
      </c>
      <c r="C53" s="168">
        <v>473</v>
      </c>
      <c r="D53" s="28">
        <v>392</v>
      </c>
      <c r="E53" s="115" t="s">
        <v>568</v>
      </c>
      <c r="F53" s="29"/>
      <c r="G53" s="188" t="s">
        <v>198</v>
      </c>
      <c r="H53" s="15"/>
      <c r="I53" s="151">
        <v>55000000</v>
      </c>
      <c r="J53" s="268">
        <v>49833333</v>
      </c>
      <c r="K53" s="26">
        <f t="shared" si="0"/>
        <v>5166667</v>
      </c>
    </row>
    <row r="54" spans="1:11" ht="15">
      <c r="A54" s="166">
        <v>44225</v>
      </c>
      <c r="B54" s="28">
        <v>377</v>
      </c>
      <c r="C54" s="168">
        <v>458</v>
      </c>
      <c r="D54" s="28">
        <v>395</v>
      </c>
      <c r="E54" s="115" t="s">
        <v>568</v>
      </c>
      <c r="F54" s="29"/>
      <c r="G54" s="188" t="s">
        <v>243</v>
      </c>
      <c r="H54" s="15"/>
      <c r="I54" s="151">
        <v>47308800</v>
      </c>
      <c r="J54" s="268">
        <v>43294720</v>
      </c>
      <c r="K54" s="26">
        <f t="shared" si="0"/>
        <v>4014080</v>
      </c>
    </row>
    <row r="55" spans="1:11" ht="15">
      <c r="A55" s="166">
        <v>44225</v>
      </c>
      <c r="B55" s="28">
        <v>379</v>
      </c>
      <c r="C55" s="168">
        <v>489</v>
      </c>
      <c r="D55" s="28">
        <v>401</v>
      </c>
      <c r="E55" s="115" t="s">
        <v>567</v>
      </c>
      <c r="F55" s="29"/>
      <c r="G55" s="188" t="s">
        <v>199</v>
      </c>
      <c r="H55" s="15"/>
      <c r="I55" s="151">
        <v>48435200</v>
      </c>
      <c r="J55" s="268">
        <v>48435200</v>
      </c>
      <c r="K55" s="26">
        <f t="shared" si="0"/>
        <v>0</v>
      </c>
    </row>
    <row r="56" spans="1:11" ht="15">
      <c r="A56" s="166">
        <v>44225</v>
      </c>
      <c r="B56" s="28">
        <v>389</v>
      </c>
      <c r="C56" s="168">
        <v>491</v>
      </c>
      <c r="D56" s="28">
        <v>408</v>
      </c>
      <c r="E56" s="115" t="s">
        <v>562</v>
      </c>
      <c r="F56" s="29"/>
      <c r="G56" s="188" t="s">
        <v>344</v>
      </c>
      <c r="H56" s="15"/>
      <c r="I56" s="151">
        <v>56320000</v>
      </c>
      <c r="J56" s="268">
        <v>56320000</v>
      </c>
      <c r="K56" s="26">
        <f t="shared" si="0"/>
        <v>0</v>
      </c>
    </row>
    <row r="57" spans="1:11" ht="15">
      <c r="A57" s="166">
        <v>44225</v>
      </c>
      <c r="B57" s="28">
        <v>387</v>
      </c>
      <c r="C57" s="168">
        <v>462</v>
      </c>
      <c r="D57" s="28">
        <v>410</v>
      </c>
      <c r="E57" s="115" t="s">
        <v>562</v>
      </c>
      <c r="F57" s="29"/>
      <c r="G57" s="188" t="s">
        <v>480</v>
      </c>
      <c r="H57" s="15"/>
      <c r="I57" s="151">
        <v>67584000</v>
      </c>
      <c r="J57" s="268">
        <v>67379200</v>
      </c>
      <c r="K57" s="26">
        <f t="shared" si="0"/>
        <v>204800</v>
      </c>
    </row>
    <row r="58" spans="1:11" ht="15">
      <c r="A58" s="166">
        <v>44228</v>
      </c>
      <c r="B58" s="28" t="s">
        <v>1115</v>
      </c>
      <c r="C58" s="168" t="s">
        <v>1088</v>
      </c>
      <c r="D58" s="28" t="s">
        <v>1089</v>
      </c>
      <c r="E58" s="115" t="s">
        <v>562</v>
      </c>
      <c r="F58" s="29"/>
      <c r="G58" s="188" t="s">
        <v>1065</v>
      </c>
      <c r="H58" s="15"/>
      <c r="I58" s="151">
        <v>43978000</v>
      </c>
      <c r="J58" s="268">
        <v>43711467</v>
      </c>
      <c r="K58" s="26">
        <f t="shared" si="0"/>
        <v>266533</v>
      </c>
    </row>
    <row r="59" spans="1:11" ht="15">
      <c r="A59" s="166">
        <v>44229</v>
      </c>
      <c r="B59" s="28" t="s">
        <v>1116</v>
      </c>
      <c r="C59" s="168" t="s">
        <v>903</v>
      </c>
      <c r="D59" s="28" t="s">
        <v>1090</v>
      </c>
      <c r="E59" s="115" t="s">
        <v>545</v>
      </c>
      <c r="F59" s="29"/>
      <c r="G59" s="188" t="s">
        <v>1066</v>
      </c>
      <c r="H59" s="15"/>
      <c r="I59" s="151">
        <v>67584000</v>
      </c>
      <c r="J59" s="268">
        <v>67174400</v>
      </c>
      <c r="K59" s="26">
        <f t="shared" si="0"/>
        <v>409600</v>
      </c>
    </row>
    <row r="60" spans="1:11" ht="15">
      <c r="A60" s="166">
        <v>44229</v>
      </c>
      <c r="B60" s="28" t="s">
        <v>1117</v>
      </c>
      <c r="C60" s="168" t="s">
        <v>1091</v>
      </c>
      <c r="D60" s="28" t="s">
        <v>988</v>
      </c>
      <c r="E60" s="115" t="s">
        <v>1049</v>
      </c>
      <c r="F60" s="29"/>
      <c r="G60" s="188" t="s">
        <v>1067</v>
      </c>
      <c r="H60" s="15"/>
      <c r="I60" s="151">
        <v>47308800</v>
      </c>
      <c r="J60" s="268">
        <v>47022080</v>
      </c>
      <c r="K60" s="26">
        <f t="shared" si="0"/>
        <v>286720</v>
      </c>
    </row>
    <row r="61" spans="1:11" ht="15">
      <c r="A61" s="166">
        <v>44231</v>
      </c>
      <c r="B61" s="28" t="s">
        <v>1118</v>
      </c>
      <c r="C61" s="168" t="s">
        <v>1092</v>
      </c>
      <c r="D61" s="28" t="s">
        <v>981</v>
      </c>
      <c r="E61" s="115" t="s">
        <v>1050</v>
      </c>
      <c r="F61" s="29"/>
      <c r="G61" s="188" t="s">
        <v>1068</v>
      </c>
      <c r="H61" s="15"/>
      <c r="I61" s="151">
        <v>23988000</v>
      </c>
      <c r="J61" s="268">
        <v>23988000</v>
      </c>
      <c r="K61" s="26">
        <f t="shared" si="0"/>
        <v>0</v>
      </c>
    </row>
    <row r="62" spans="1:11" ht="15">
      <c r="A62" s="166">
        <v>44235</v>
      </c>
      <c r="B62" s="28" t="s">
        <v>1119</v>
      </c>
      <c r="C62" s="168" t="s">
        <v>1093</v>
      </c>
      <c r="D62" s="28" t="s">
        <v>992</v>
      </c>
      <c r="E62" s="115" t="s">
        <v>1051</v>
      </c>
      <c r="F62" s="29"/>
      <c r="G62" s="188" t="s">
        <v>1069</v>
      </c>
      <c r="H62" s="15"/>
      <c r="I62" s="151">
        <v>77000000</v>
      </c>
      <c r="J62" s="268">
        <v>47366667</v>
      </c>
      <c r="K62" s="26">
        <f t="shared" si="0"/>
        <v>29633333</v>
      </c>
    </row>
    <row r="63" spans="1:11" ht="15">
      <c r="A63" s="166">
        <v>44235</v>
      </c>
      <c r="B63" s="28" t="s">
        <v>1120</v>
      </c>
      <c r="C63" s="168" t="s">
        <v>1094</v>
      </c>
      <c r="D63" s="28" t="s">
        <v>885</v>
      </c>
      <c r="E63" s="115" t="s">
        <v>1052</v>
      </c>
      <c r="F63" s="29"/>
      <c r="G63" s="188" t="s">
        <v>1070</v>
      </c>
      <c r="H63" s="15"/>
      <c r="I63" s="151">
        <v>58572800</v>
      </c>
      <c r="J63" s="268">
        <v>58032128</v>
      </c>
      <c r="K63" s="26">
        <f t="shared" si="0"/>
        <v>540672</v>
      </c>
    </row>
    <row r="64" spans="1:11" ht="15">
      <c r="A64" s="166">
        <v>44235</v>
      </c>
      <c r="B64" s="28" t="s">
        <v>1121</v>
      </c>
      <c r="C64" s="168" t="s">
        <v>930</v>
      </c>
      <c r="D64" s="28" t="s">
        <v>997</v>
      </c>
      <c r="E64" s="115" t="s">
        <v>1053</v>
      </c>
      <c r="F64" s="29"/>
      <c r="G64" s="188" t="s">
        <v>1071</v>
      </c>
      <c r="H64" s="15"/>
      <c r="I64" s="151">
        <v>63078400</v>
      </c>
      <c r="J64" s="268">
        <v>61740373</v>
      </c>
      <c r="K64" s="26">
        <f t="shared" si="0"/>
        <v>1338027</v>
      </c>
    </row>
    <row r="65" spans="1:11" ht="15">
      <c r="A65" s="166">
        <v>44235</v>
      </c>
      <c r="B65" s="28" t="s">
        <v>1122</v>
      </c>
      <c r="C65" s="168" t="s">
        <v>1095</v>
      </c>
      <c r="D65" s="28" t="s">
        <v>892</v>
      </c>
      <c r="E65" s="115" t="s">
        <v>1054</v>
      </c>
      <c r="F65" s="29"/>
      <c r="G65" s="188" t="s">
        <v>1072</v>
      </c>
      <c r="H65" s="15"/>
      <c r="I65" s="151">
        <v>19148747</v>
      </c>
      <c r="J65" s="268">
        <v>19148747</v>
      </c>
      <c r="K65" s="26">
        <f t="shared" si="0"/>
        <v>0</v>
      </c>
    </row>
    <row r="66" spans="1:11" ht="15">
      <c r="A66" s="166">
        <v>44239</v>
      </c>
      <c r="B66" s="28" t="s">
        <v>885</v>
      </c>
      <c r="C66" s="168" t="s">
        <v>1096</v>
      </c>
      <c r="D66" s="28" t="s">
        <v>902</v>
      </c>
      <c r="E66" s="115" t="s">
        <v>1055</v>
      </c>
      <c r="F66" s="29"/>
      <c r="G66" s="188" t="s">
        <v>1073</v>
      </c>
      <c r="H66" s="15"/>
      <c r="I66" s="151">
        <v>53333333</v>
      </c>
      <c r="J66" s="268">
        <v>52500000</v>
      </c>
      <c r="K66" s="26">
        <f t="shared" si="0"/>
        <v>833333</v>
      </c>
    </row>
    <row r="67" spans="1:11" ht="15">
      <c r="A67" s="166">
        <v>44242</v>
      </c>
      <c r="B67" s="28" t="s">
        <v>1123</v>
      </c>
      <c r="C67" s="168" t="s">
        <v>948</v>
      </c>
      <c r="D67" s="28" t="s">
        <v>1097</v>
      </c>
      <c r="E67" s="115" t="s">
        <v>1056</v>
      </c>
      <c r="F67" s="29"/>
      <c r="G67" s="188" t="s">
        <v>1074</v>
      </c>
      <c r="H67" s="15"/>
      <c r="I67" s="151">
        <v>43610000</v>
      </c>
      <c r="J67" s="268">
        <v>43610000</v>
      </c>
      <c r="K67" s="26">
        <f t="shared" si="0"/>
        <v>0</v>
      </c>
    </row>
    <row r="68" spans="1:11" ht="15">
      <c r="A68" s="166">
        <v>44242</v>
      </c>
      <c r="B68" s="28" t="s">
        <v>1124</v>
      </c>
      <c r="C68" s="168" t="s">
        <v>1098</v>
      </c>
      <c r="D68" s="28" t="s">
        <v>1005</v>
      </c>
      <c r="E68" s="115" t="s">
        <v>1057</v>
      </c>
      <c r="F68" s="29"/>
      <c r="G68" s="188" t="s">
        <v>1075</v>
      </c>
      <c r="H68" s="15"/>
      <c r="I68" s="151">
        <v>53333333</v>
      </c>
      <c r="J68" s="268">
        <v>52000000</v>
      </c>
      <c r="K68" s="26">
        <f t="shared" si="0"/>
        <v>1333333</v>
      </c>
    </row>
    <row r="69" spans="1:11" ht="15">
      <c r="A69" s="166">
        <v>44242</v>
      </c>
      <c r="B69" s="28" t="s">
        <v>1125</v>
      </c>
      <c r="C69" s="168" t="s">
        <v>1099</v>
      </c>
      <c r="D69" s="28" t="s">
        <v>910</v>
      </c>
      <c r="E69" s="115" t="s">
        <v>552</v>
      </c>
      <c r="F69" s="29"/>
      <c r="G69" s="188" t="s">
        <v>1076</v>
      </c>
      <c r="H69" s="15"/>
      <c r="I69" s="151">
        <v>50000000</v>
      </c>
      <c r="J69" s="268">
        <v>50000000</v>
      </c>
      <c r="K69" s="26">
        <f t="shared" si="0"/>
        <v>0</v>
      </c>
    </row>
    <row r="70" spans="1:11" ht="15">
      <c r="A70" s="166">
        <v>44242</v>
      </c>
      <c r="B70" s="28" t="s">
        <v>1126</v>
      </c>
      <c r="C70" s="168" t="s">
        <v>1100</v>
      </c>
      <c r="D70" s="28" t="s">
        <v>1007</v>
      </c>
      <c r="E70" s="115" t="s">
        <v>1058</v>
      </c>
      <c r="F70" s="29"/>
      <c r="G70" s="188" t="s">
        <v>1077</v>
      </c>
      <c r="H70" s="15"/>
      <c r="I70" s="151">
        <v>30000000</v>
      </c>
      <c r="J70" s="268">
        <v>30000000</v>
      </c>
      <c r="K70" s="26">
        <f t="shared" si="0"/>
        <v>0</v>
      </c>
    </row>
    <row r="71" spans="1:11" ht="15">
      <c r="A71" s="166">
        <v>44242</v>
      </c>
      <c r="B71" s="28" t="s">
        <v>1127</v>
      </c>
      <c r="C71" s="168" t="s">
        <v>1101</v>
      </c>
      <c r="D71" s="28" t="s">
        <v>1102</v>
      </c>
      <c r="E71" s="115" t="s">
        <v>1059</v>
      </c>
      <c r="F71" s="29"/>
      <c r="G71" s="188" t="s">
        <v>1078</v>
      </c>
      <c r="H71" s="15"/>
      <c r="I71" s="151">
        <v>52500000</v>
      </c>
      <c r="J71" s="268">
        <v>52500000</v>
      </c>
      <c r="K71" s="26">
        <f t="shared" si="0"/>
        <v>0</v>
      </c>
    </row>
    <row r="72" spans="1:11" ht="15">
      <c r="A72" s="166">
        <v>44242</v>
      </c>
      <c r="B72" s="28" t="s">
        <v>1128</v>
      </c>
      <c r="C72" s="168" t="s">
        <v>1103</v>
      </c>
      <c r="D72" s="28" t="s">
        <v>925</v>
      </c>
      <c r="E72" s="115" t="s">
        <v>1060</v>
      </c>
      <c r="F72" s="29"/>
      <c r="G72" s="188" t="s">
        <v>1079</v>
      </c>
      <c r="H72" s="15"/>
      <c r="I72" s="151">
        <v>50000000</v>
      </c>
      <c r="J72" s="268">
        <v>50000000</v>
      </c>
      <c r="K72" s="26">
        <f t="shared" si="0"/>
        <v>0</v>
      </c>
    </row>
    <row r="73" spans="1:11" ht="15">
      <c r="A73" s="166">
        <v>44243</v>
      </c>
      <c r="B73" s="28" t="s">
        <v>922</v>
      </c>
      <c r="C73" s="168" t="s">
        <v>963</v>
      </c>
      <c r="D73" s="28" t="s">
        <v>1104</v>
      </c>
      <c r="E73" s="115" t="s">
        <v>1061</v>
      </c>
      <c r="F73" s="29"/>
      <c r="G73" s="188" t="s">
        <v>1080</v>
      </c>
      <c r="H73" s="15"/>
      <c r="I73" s="151">
        <v>52500000</v>
      </c>
      <c r="J73" s="268">
        <v>52500000</v>
      </c>
      <c r="K73" s="26">
        <f t="shared" si="0"/>
        <v>0</v>
      </c>
    </row>
    <row r="74" spans="1:11" ht="15">
      <c r="A74" s="166">
        <v>44243</v>
      </c>
      <c r="B74" s="28" t="s">
        <v>1129</v>
      </c>
      <c r="C74" s="168" t="s">
        <v>1105</v>
      </c>
      <c r="D74" s="28" t="s">
        <v>1106</v>
      </c>
      <c r="E74" s="115" t="s">
        <v>1062</v>
      </c>
      <c r="F74" s="29"/>
      <c r="G74" s="188" t="s">
        <v>1081</v>
      </c>
      <c r="H74" s="15"/>
      <c r="I74" s="151">
        <v>52500000</v>
      </c>
      <c r="J74" s="268">
        <v>52333333</v>
      </c>
      <c r="K74" s="26">
        <f t="shared" si="0"/>
        <v>166667</v>
      </c>
    </row>
    <row r="75" spans="1:11" ht="15">
      <c r="A75" s="166">
        <v>44244</v>
      </c>
      <c r="B75" s="28" t="s">
        <v>958</v>
      </c>
      <c r="C75" s="168" t="s">
        <v>1107</v>
      </c>
      <c r="D75" s="28" t="s">
        <v>1108</v>
      </c>
      <c r="E75" s="115" t="s">
        <v>1062</v>
      </c>
      <c r="F75" s="29"/>
      <c r="G75" s="188" t="s">
        <v>1082</v>
      </c>
      <c r="H75" s="15"/>
      <c r="I75" s="151">
        <v>52500000</v>
      </c>
      <c r="J75" s="268">
        <v>52000000</v>
      </c>
      <c r="K75" s="26">
        <f t="shared" si="0"/>
        <v>500000</v>
      </c>
    </row>
    <row r="76" spans="1:11" ht="15">
      <c r="A76" s="166">
        <v>44245</v>
      </c>
      <c r="B76" s="28" t="s">
        <v>1130</v>
      </c>
      <c r="C76" s="168" t="s">
        <v>965</v>
      </c>
      <c r="D76" s="28" t="s">
        <v>1099</v>
      </c>
      <c r="E76" s="115" t="s">
        <v>567</v>
      </c>
      <c r="F76" s="29"/>
      <c r="G76" s="188" t="s">
        <v>1083</v>
      </c>
      <c r="H76" s="15"/>
      <c r="I76" s="151">
        <f>48435200-24657920</f>
        <v>23777280</v>
      </c>
      <c r="J76" s="268">
        <v>23777280</v>
      </c>
      <c r="K76" s="26">
        <f t="shared" si="0"/>
        <v>0</v>
      </c>
    </row>
    <row r="77" spans="1:11" ht="15">
      <c r="A77" s="166">
        <v>44245</v>
      </c>
      <c r="B77" s="28" t="s">
        <v>1093</v>
      </c>
      <c r="C77" s="168" t="s">
        <v>1109</v>
      </c>
      <c r="D77" s="28" t="s">
        <v>1100</v>
      </c>
      <c r="E77" s="115" t="s">
        <v>1062</v>
      </c>
      <c r="F77" s="29"/>
      <c r="G77" s="188" t="s">
        <v>1084</v>
      </c>
      <c r="H77" s="15"/>
      <c r="I77" s="151">
        <v>52500000</v>
      </c>
      <c r="J77" s="268">
        <v>52000000</v>
      </c>
      <c r="K77" s="26">
        <f t="shared" si="0"/>
        <v>500000</v>
      </c>
    </row>
    <row r="78" spans="1:11" ht="15">
      <c r="A78" s="166">
        <v>44245</v>
      </c>
      <c r="B78" s="28" t="s">
        <v>1094</v>
      </c>
      <c r="C78" s="168" t="s">
        <v>1110</v>
      </c>
      <c r="D78" s="28" t="s">
        <v>1111</v>
      </c>
      <c r="E78" s="115" t="s">
        <v>1062</v>
      </c>
      <c r="F78" s="29"/>
      <c r="G78" s="188" t="s">
        <v>1085</v>
      </c>
      <c r="H78" s="15"/>
      <c r="I78" s="151">
        <v>44100000</v>
      </c>
      <c r="J78" s="268">
        <v>43680000</v>
      </c>
      <c r="K78" s="26">
        <f t="shared" si="1" ref="K78:K141">+I78-J78</f>
        <v>420000</v>
      </c>
    </row>
    <row r="79" spans="1:11" ht="15">
      <c r="A79" s="166">
        <v>44247</v>
      </c>
      <c r="B79" s="28" t="s">
        <v>1131</v>
      </c>
      <c r="C79" s="168" t="s">
        <v>1112</v>
      </c>
      <c r="D79" s="28" t="s">
        <v>1105</v>
      </c>
      <c r="E79" s="115" t="s">
        <v>1063</v>
      </c>
      <c r="F79" s="29"/>
      <c r="G79" s="188" t="s">
        <v>1086</v>
      </c>
      <c r="H79" s="15"/>
      <c r="I79" s="151">
        <v>45790500</v>
      </c>
      <c r="J79" s="268">
        <v>44627567</v>
      </c>
      <c r="K79" s="26">
        <f t="shared" si="1"/>
        <v>1162933</v>
      </c>
    </row>
    <row r="80" spans="1:11" ht="15">
      <c r="A80" s="166">
        <v>44251</v>
      </c>
      <c r="B80" s="28" t="s">
        <v>1097</v>
      </c>
      <c r="C80" s="168" t="s">
        <v>1113</v>
      </c>
      <c r="D80" s="28" t="s">
        <v>1114</v>
      </c>
      <c r="E80" s="115" t="s">
        <v>1064</v>
      </c>
      <c r="F80" s="29"/>
      <c r="G80" s="188" t="s">
        <v>1087</v>
      </c>
      <c r="H80" s="15"/>
      <c r="I80" s="151">
        <v>58800000</v>
      </c>
      <c r="J80" s="268">
        <v>56933333</v>
      </c>
      <c r="K80" s="26">
        <f t="shared" si="1"/>
        <v>1866667</v>
      </c>
    </row>
    <row r="81" spans="1:11" ht="15">
      <c r="A81" s="166">
        <v>44256</v>
      </c>
      <c r="B81" s="28" t="s">
        <v>1389</v>
      </c>
      <c r="C81" s="168" t="s">
        <v>1536</v>
      </c>
      <c r="D81" s="28" t="s">
        <v>453</v>
      </c>
      <c r="E81" s="115" t="s">
        <v>1557</v>
      </c>
      <c r="F81" s="29"/>
      <c r="G81" s="188" t="s">
        <v>1524</v>
      </c>
      <c r="H81" s="15"/>
      <c r="I81" s="151">
        <v>30500000</v>
      </c>
      <c r="J81" s="268">
        <v>29900000</v>
      </c>
      <c r="K81" s="26">
        <f t="shared" si="1"/>
        <v>600000</v>
      </c>
    </row>
    <row r="82" spans="1:11" ht="15">
      <c r="A82" s="166">
        <v>44258</v>
      </c>
      <c r="B82" s="28" t="s">
        <v>1102</v>
      </c>
      <c r="C82" s="168" t="s">
        <v>1489</v>
      </c>
      <c r="D82" s="28" t="s">
        <v>1235</v>
      </c>
      <c r="E82" s="115" t="s">
        <v>1558</v>
      </c>
      <c r="F82" s="29"/>
      <c r="G82" s="188" t="s">
        <v>1525</v>
      </c>
      <c r="H82" s="15"/>
      <c r="I82" s="151">
        <v>44336833</v>
      </c>
      <c r="J82" s="268">
        <v>43319267</v>
      </c>
      <c r="K82" s="26">
        <f t="shared" si="1"/>
        <v>1017566</v>
      </c>
    </row>
    <row r="83" spans="1:11" ht="15">
      <c r="A83" s="166">
        <v>44263</v>
      </c>
      <c r="B83" s="28" t="s">
        <v>943</v>
      </c>
      <c r="C83" s="168" t="s">
        <v>1537</v>
      </c>
      <c r="D83" s="28" t="s">
        <v>1238</v>
      </c>
      <c r="E83" s="115" t="s">
        <v>1559</v>
      </c>
      <c r="F83" s="29"/>
      <c r="G83" s="188" t="s">
        <v>1526</v>
      </c>
      <c r="H83" s="15"/>
      <c r="I83" s="151">
        <v>42000000</v>
      </c>
      <c r="J83" s="268">
        <v>42000000</v>
      </c>
      <c r="K83" s="26">
        <f t="shared" si="1"/>
        <v>0</v>
      </c>
    </row>
    <row r="84" spans="1:11" ht="15">
      <c r="A84" s="166">
        <v>44263</v>
      </c>
      <c r="B84" s="28" t="s">
        <v>1571</v>
      </c>
      <c r="C84" s="168" t="s">
        <v>1538</v>
      </c>
      <c r="D84" s="28" t="s">
        <v>1396</v>
      </c>
      <c r="E84" s="115" t="s">
        <v>1560</v>
      </c>
      <c r="F84" s="29"/>
      <c r="G84" s="188" t="s">
        <v>1527</v>
      </c>
      <c r="H84" s="15"/>
      <c r="I84" s="151">
        <v>16586000</v>
      </c>
      <c r="J84" s="268">
        <v>16586000</v>
      </c>
      <c r="K84" s="26">
        <f t="shared" si="1"/>
        <v>0</v>
      </c>
    </row>
    <row r="85" spans="1:11" ht="15">
      <c r="A85" s="166">
        <v>44264</v>
      </c>
      <c r="B85" s="28" t="s">
        <v>936</v>
      </c>
      <c r="C85" s="168" t="s">
        <v>1539</v>
      </c>
      <c r="D85" s="28" t="s">
        <v>1540</v>
      </c>
      <c r="E85" s="115" t="s">
        <v>1561</v>
      </c>
      <c r="F85" s="29"/>
      <c r="G85" s="188" t="s">
        <v>1528</v>
      </c>
      <c r="H85" s="15"/>
      <c r="I85" s="151">
        <v>44336833</v>
      </c>
      <c r="J85" s="268">
        <v>42301700</v>
      </c>
      <c r="K85" s="26">
        <f t="shared" si="1"/>
        <v>2035133</v>
      </c>
    </row>
    <row r="86" spans="1:11" ht="15">
      <c r="A86" s="166">
        <v>44265</v>
      </c>
      <c r="B86" s="28" t="s">
        <v>924</v>
      </c>
      <c r="C86" s="168" t="s">
        <v>1541</v>
      </c>
      <c r="D86" s="28" t="s">
        <v>1542</v>
      </c>
      <c r="E86" s="115" t="s">
        <v>1562</v>
      </c>
      <c r="F86" s="29"/>
      <c r="G86" s="188" t="s">
        <v>1529</v>
      </c>
      <c r="H86" s="15"/>
      <c r="I86" s="151">
        <v>19797333</v>
      </c>
      <c r="J86" s="268">
        <v>14540800</v>
      </c>
      <c r="K86" s="26">
        <f t="shared" si="1"/>
        <v>5256533</v>
      </c>
    </row>
    <row r="87" spans="1:11" ht="15">
      <c r="A87" s="166">
        <v>44270</v>
      </c>
      <c r="B87" s="28" t="s">
        <v>1108</v>
      </c>
      <c r="C87" s="168" t="s">
        <v>1543</v>
      </c>
      <c r="D87" s="28" t="s">
        <v>1488</v>
      </c>
      <c r="E87" s="115" t="s">
        <v>1563</v>
      </c>
      <c r="F87" s="29"/>
      <c r="G87" s="188" t="s">
        <v>1530</v>
      </c>
      <c r="H87" s="15"/>
      <c r="I87" s="151">
        <v>60000000</v>
      </c>
      <c r="J87" s="268">
        <v>57200000</v>
      </c>
      <c r="K87" s="26">
        <f t="shared" si="1"/>
        <v>2800000</v>
      </c>
    </row>
    <row r="88" spans="1:11" ht="15">
      <c r="A88" s="166">
        <v>44272</v>
      </c>
      <c r="B88" s="28" t="s">
        <v>1103</v>
      </c>
      <c r="C88" s="168" t="s">
        <v>1544</v>
      </c>
      <c r="D88" s="28" t="s">
        <v>1545</v>
      </c>
      <c r="E88" s="115" t="s">
        <v>1564</v>
      </c>
      <c r="F88" s="29"/>
      <c r="G88" s="188" t="s">
        <v>1531</v>
      </c>
      <c r="H88" s="15"/>
      <c r="I88" s="151">
        <v>32866667</v>
      </c>
      <c r="J88" s="268">
        <v>31280000</v>
      </c>
      <c r="K88" s="26">
        <f t="shared" si="1"/>
        <v>1586667</v>
      </c>
    </row>
    <row r="89" spans="1:11" ht="15">
      <c r="A89" s="166">
        <v>44273</v>
      </c>
      <c r="B89" s="28" t="s">
        <v>1572</v>
      </c>
      <c r="C89" s="168" t="s">
        <v>1546</v>
      </c>
      <c r="D89" s="28" t="s">
        <v>1547</v>
      </c>
      <c r="E89" s="115" t="s">
        <v>1565</v>
      </c>
      <c r="F89" s="29"/>
      <c r="G89" s="188" t="s">
        <v>1527</v>
      </c>
      <c r="H89" s="15"/>
      <c r="I89" s="151">
        <v>197746795</v>
      </c>
      <c r="J89" s="268">
        <v>197746795</v>
      </c>
      <c r="K89" s="26">
        <f t="shared" si="1"/>
        <v>0</v>
      </c>
    </row>
    <row r="90" spans="1:11" ht="15">
      <c r="A90" s="166">
        <v>44273</v>
      </c>
      <c r="B90" s="28" t="s">
        <v>1573</v>
      </c>
      <c r="C90" s="168" t="s">
        <v>1548</v>
      </c>
      <c r="D90" s="28" t="s">
        <v>1549</v>
      </c>
      <c r="E90" s="115" t="s">
        <v>1566</v>
      </c>
      <c r="F90" s="29"/>
      <c r="G90" s="188" t="s">
        <v>1527</v>
      </c>
      <c r="H90" s="15"/>
      <c r="I90" s="151">
        <v>56486</v>
      </c>
      <c r="J90" s="268">
        <v>56486</v>
      </c>
      <c r="K90" s="26">
        <f t="shared" si="1"/>
        <v>0</v>
      </c>
    </row>
    <row r="91" spans="1:11" ht="15">
      <c r="A91" s="166">
        <v>44278</v>
      </c>
      <c r="B91" s="28" t="s">
        <v>942</v>
      </c>
      <c r="C91" s="168" t="s">
        <v>1550</v>
      </c>
      <c r="D91" s="28" t="s">
        <v>1551</v>
      </c>
      <c r="E91" s="115" t="s">
        <v>1567</v>
      </c>
      <c r="F91" s="29"/>
      <c r="G91" s="188" t="s">
        <v>1532</v>
      </c>
      <c r="H91" s="15"/>
      <c r="I91" s="151">
        <v>26166000</v>
      </c>
      <c r="J91" s="268">
        <v>26166000</v>
      </c>
      <c r="K91" s="26">
        <f t="shared" si="1"/>
        <v>0</v>
      </c>
    </row>
    <row r="92" spans="1:11" ht="15">
      <c r="A92" s="166">
        <v>44284</v>
      </c>
      <c r="B92" s="28" t="s">
        <v>1397</v>
      </c>
      <c r="C92" s="168" t="s">
        <v>1552</v>
      </c>
      <c r="D92" s="28" t="s">
        <v>1553</v>
      </c>
      <c r="E92" s="115" t="s">
        <v>1568</v>
      </c>
      <c r="F92" s="29"/>
      <c r="G92" s="188" t="s">
        <v>1533</v>
      </c>
      <c r="H92" s="15"/>
      <c r="I92" s="151">
        <v>50000000</v>
      </c>
      <c r="J92" s="268">
        <v>39666667</v>
      </c>
      <c r="K92" s="26">
        <f t="shared" si="1"/>
        <v>10333333</v>
      </c>
    </row>
    <row r="93" spans="1:11" ht="15">
      <c r="A93" s="166">
        <v>44284</v>
      </c>
      <c r="B93" s="28" t="s">
        <v>1574</v>
      </c>
      <c r="C93" s="168" t="s">
        <v>1554</v>
      </c>
      <c r="D93" s="28" t="s">
        <v>461</v>
      </c>
      <c r="E93" s="115" t="s">
        <v>1569</v>
      </c>
      <c r="F93" s="29"/>
      <c r="G93" s="188" t="s">
        <v>1534</v>
      </c>
      <c r="H93" s="15"/>
      <c r="I93" s="151">
        <v>45650000</v>
      </c>
      <c r="J93" s="268">
        <v>41237167</v>
      </c>
      <c r="K93" s="26">
        <f t="shared" si="1"/>
        <v>4412833</v>
      </c>
    </row>
    <row r="94" spans="1:11" ht="15">
      <c r="A94" s="166">
        <v>44284</v>
      </c>
      <c r="B94" s="28" t="s">
        <v>1235</v>
      </c>
      <c r="C94" s="168" t="s">
        <v>1555</v>
      </c>
      <c r="D94" s="28" t="s">
        <v>1556</v>
      </c>
      <c r="E94" s="115" t="s">
        <v>1570</v>
      </c>
      <c r="F94" s="29"/>
      <c r="G94" s="188" t="s">
        <v>1535</v>
      </c>
      <c r="H94" s="15"/>
      <c r="I94" s="151">
        <v>18000000</v>
      </c>
      <c r="J94" s="268">
        <v>18000000</v>
      </c>
      <c r="K94" s="26">
        <f t="shared" si="1"/>
        <v>0</v>
      </c>
    </row>
    <row r="95" spans="1:11" ht="15">
      <c r="A95" s="166">
        <v>44291</v>
      </c>
      <c r="B95" s="28" t="s">
        <v>1698</v>
      </c>
      <c r="C95" s="168" t="s">
        <v>1780</v>
      </c>
      <c r="D95" s="28" t="s">
        <v>1781</v>
      </c>
      <c r="E95" s="115" t="s">
        <v>1810</v>
      </c>
      <c r="F95" s="29"/>
      <c r="G95" s="188" t="s">
        <v>1831</v>
      </c>
      <c r="H95" s="15"/>
      <c r="I95" s="151">
        <v>830101160</v>
      </c>
      <c r="J95" s="268">
        <v>830101160</v>
      </c>
      <c r="K95" s="26">
        <f t="shared" si="1"/>
        <v>0</v>
      </c>
    </row>
    <row r="96" spans="1:11" ht="15">
      <c r="A96" s="166">
        <v>44291</v>
      </c>
      <c r="B96" s="28" t="s">
        <v>1394</v>
      </c>
      <c r="C96" s="168" t="s">
        <v>1724</v>
      </c>
      <c r="D96" s="28" t="s">
        <v>1782</v>
      </c>
      <c r="E96" s="115" t="s">
        <v>1811</v>
      </c>
      <c r="F96" s="29"/>
      <c r="G96" s="188" t="s">
        <v>1832</v>
      </c>
      <c r="H96" s="15"/>
      <c r="I96" s="151">
        <v>30000000</v>
      </c>
      <c r="J96" s="268">
        <v>30000000</v>
      </c>
      <c r="K96" s="26">
        <f t="shared" si="1"/>
        <v>0</v>
      </c>
    </row>
    <row r="97" spans="1:11" ht="15">
      <c r="A97" s="166">
        <v>44294</v>
      </c>
      <c r="B97" s="28" t="s">
        <v>444</v>
      </c>
      <c r="C97" s="168" t="s">
        <v>1783</v>
      </c>
      <c r="D97" s="28" t="s">
        <v>1780</v>
      </c>
      <c r="E97" s="115" t="s">
        <v>1812</v>
      </c>
      <c r="F97" s="29"/>
      <c r="G97" s="188" t="s">
        <v>1527</v>
      </c>
      <c r="H97" s="15"/>
      <c r="I97" s="151">
        <v>6668781</v>
      </c>
      <c r="J97" s="268">
        <v>6668781</v>
      </c>
      <c r="K97" s="26">
        <f t="shared" si="1"/>
        <v>0</v>
      </c>
    </row>
    <row r="98" spans="1:11" ht="15">
      <c r="A98" s="166">
        <v>44295</v>
      </c>
      <c r="B98" s="28" t="s">
        <v>1844</v>
      </c>
      <c r="C98" s="168" t="s">
        <v>1497</v>
      </c>
      <c r="D98" s="28" t="s">
        <v>1677</v>
      </c>
      <c r="E98" s="115" t="s">
        <v>1813</v>
      </c>
      <c r="F98" s="29"/>
      <c r="G98" s="188" t="s">
        <v>1165</v>
      </c>
      <c r="H98" s="15"/>
      <c r="I98" s="151">
        <v>1429004</v>
      </c>
      <c r="J98" s="268">
        <v>1429004</v>
      </c>
      <c r="K98" s="26">
        <f t="shared" si="1"/>
        <v>0</v>
      </c>
    </row>
    <row r="99" spans="1:11" ht="15">
      <c r="A99" s="166">
        <v>44295</v>
      </c>
      <c r="B99" s="28" t="s">
        <v>1122</v>
      </c>
      <c r="C99" s="168" t="s">
        <v>1726</v>
      </c>
      <c r="D99" s="28" t="s">
        <v>1606</v>
      </c>
      <c r="E99" s="115" t="s">
        <v>1814</v>
      </c>
      <c r="F99" s="29"/>
      <c r="G99" s="188" t="s">
        <v>1072</v>
      </c>
      <c r="H99" s="15"/>
      <c r="I99" s="151">
        <v>673600</v>
      </c>
      <c r="J99" s="268">
        <v>673586</v>
      </c>
      <c r="K99" s="26">
        <f t="shared" si="1"/>
        <v>14</v>
      </c>
    </row>
    <row r="100" spans="1:11" ht="15">
      <c r="A100" s="166">
        <v>44298</v>
      </c>
      <c r="B100" s="28" t="s">
        <v>1272</v>
      </c>
      <c r="C100" s="168" t="s">
        <v>1784</v>
      </c>
      <c r="D100" s="28" t="s">
        <v>1785</v>
      </c>
      <c r="E100" s="115" t="s">
        <v>1815</v>
      </c>
      <c r="F100" s="29"/>
      <c r="G100" s="188" t="s">
        <v>1527</v>
      </c>
      <c r="H100" s="15"/>
      <c r="I100" s="151">
        <v>171700</v>
      </c>
      <c r="J100" s="268">
        <v>171700</v>
      </c>
      <c r="K100" s="26">
        <f t="shared" si="1"/>
        <v>0</v>
      </c>
    </row>
    <row r="101" spans="1:11" ht="15">
      <c r="A101" s="166">
        <v>44298</v>
      </c>
      <c r="B101" s="28" t="s">
        <v>1845</v>
      </c>
      <c r="C101" s="168" t="s">
        <v>1786</v>
      </c>
      <c r="D101" s="28" t="s">
        <v>1787</v>
      </c>
      <c r="E101" s="115" t="s">
        <v>1816</v>
      </c>
      <c r="F101" s="29"/>
      <c r="G101" s="188" t="s">
        <v>1527</v>
      </c>
      <c r="H101" s="15"/>
      <c r="I101" s="151">
        <v>48203908</v>
      </c>
      <c r="J101" s="268">
        <v>48203908</v>
      </c>
      <c r="K101" s="26">
        <f t="shared" si="1"/>
        <v>0</v>
      </c>
    </row>
    <row r="102" spans="1:11" ht="15">
      <c r="A102" s="166">
        <v>44300</v>
      </c>
      <c r="B102" s="28" t="s">
        <v>1536</v>
      </c>
      <c r="C102" s="168" t="s">
        <v>1727</v>
      </c>
      <c r="D102" s="28" t="s">
        <v>1783</v>
      </c>
      <c r="E102" s="115" t="s">
        <v>1817</v>
      </c>
      <c r="F102" s="29"/>
      <c r="G102" s="188" t="s">
        <v>1833</v>
      </c>
      <c r="H102" s="15"/>
      <c r="I102" s="151">
        <v>27000000</v>
      </c>
      <c r="J102" s="268">
        <v>27000000</v>
      </c>
      <c r="K102" s="26">
        <f t="shared" si="1"/>
        <v>0</v>
      </c>
    </row>
    <row r="103" spans="1:11" ht="15">
      <c r="A103" s="166">
        <v>44305</v>
      </c>
      <c r="B103" s="28" t="s">
        <v>1489</v>
      </c>
      <c r="C103" s="168" t="s">
        <v>1788</v>
      </c>
      <c r="D103" s="28" t="s">
        <v>1789</v>
      </c>
      <c r="E103" s="115" t="s">
        <v>1818</v>
      </c>
      <c r="F103" s="29"/>
      <c r="G103" s="188" t="s">
        <v>1834</v>
      </c>
      <c r="H103" s="15"/>
      <c r="I103" s="151">
        <f>70133333-2933333</f>
        <v>67200000</v>
      </c>
      <c r="J103" s="268">
        <v>67200000</v>
      </c>
      <c r="K103" s="26">
        <f t="shared" si="1"/>
        <v>0</v>
      </c>
    </row>
    <row r="104" spans="1:11" ht="15">
      <c r="A104" s="166">
        <v>44305</v>
      </c>
      <c r="B104" s="28" t="s">
        <v>1481</v>
      </c>
      <c r="C104" s="168" t="s">
        <v>1790</v>
      </c>
      <c r="D104" s="28" t="s">
        <v>1791</v>
      </c>
      <c r="E104" s="115" t="s">
        <v>1819</v>
      </c>
      <c r="F104" s="29"/>
      <c r="G104" s="188" t="s">
        <v>1835</v>
      </c>
      <c r="H104" s="15"/>
      <c r="I104" s="151">
        <v>32000000</v>
      </c>
      <c r="J104" s="26">
        <v>32000000</v>
      </c>
      <c r="K104" s="26">
        <f t="shared" si="1"/>
        <v>0</v>
      </c>
    </row>
    <row r="105" spans="1:11" ht="15">
      <c r="A105" s="166">
        <v>44305</v>
      </c>
      <c r="B105" s="28" t="s">
        <v>1712</v>
      </c>
      <c r="C105" s="168" t="s">
        <v>1792</v>
      </c>
      <c r="D105" s="28" t="s">
        <v>1793</v>
      </c>
      <c r="E105" s="115" t="s">
        <v>1820</v>
      </c>
      <c r="F105" s="29"/>
      <c r="G105" s="188" t="s">
        <v>1836</v>
      </c>
      <c r="H105" s="15"/>
      <c r="I105" s="151">
        <v>26248000</v>
      </c>
      <c r="J105" s="26">
        <v>25836267</v>
      </c>
      <c r="K105" s="26">
        <f t="shared" si="1"/>
        <v>411733</v>
      </c>
    </row>
    <row r="106" spans="1:11" ht="15">
      <c r="A106" s="166">
        <v>44306</v>
      </c>
      <c r="B106" s="28" t="s">
        <v>1483</v>
      </c>
      <c r="C106" s="168" t="s">
        <v>1729</v>
      </c>
      <c r="D106" s="28" t="s">
        <v>1794</v>
      </c>
      <c r="E106" s="115" t="s">
        <v>1821</v>
      </c>
      <c r="F106" s="29"/>
      <c r="G106" s="188" t="s">
        <v>1837</v>
      </c>
      <c r="H106" s="15"/>
      <c r="I106" s="151">
        <v>43008000</v>
      </c>
      <c r="J106" s="26">
        <v>43008000</v>
      </c>
      <c r="K106" s="26">
        <f t="shared" si="1"/>
        <v>0</v>
      </c>
    </row>
    <row r="107" spans="1:11" ht="15">
      <c r="A107" s="166">
        <v>44306</v>
      </c>
      <c r="B107" s="28" t="s">
        <v>412</v>
      </c>
      <c r="C107" s="168" t="s">
        <v>1795</v>
      </c>
      <c r="D107" s="28" t="s">
        <v>1796</v>
      </c>
      <c r="E107" s="115" t="s">
        <v>1822</v>
      </c>
      <c r="F107" s="29"/>
      <c r="G107" s="188" t="s">
        <v>1527</v>
      </c>
      <c r="H107" s="15"/>
      <c r="I107" s="151">
        <v>78401</v>
      </c>
      <c r="J107" s="26">
        <v>78401</v>
      </c>
      <c r="K107" s="26">
        <f t="shared" si="1"/>
        <v>0</v>
      </c>
    </row>
    <row r="108" spans="1:11" ht="15">
      <c r="A108" s="166">
        <v>44306</v>
      </c>
      <c r="B108" s="28" t="s">
        <v>1846</v>
      </c>
      <c r="C108" s="168" t="s">
        <v>1797</v>
      </c>
      <c r="D108" s="28" t="s">
        <v>1788</v>
      </c>
      <c r="E108" s="115" t="s">
        <v>1823</v>
      </c>
      <c r="F108" s="29"/>
      <c r="G108" s="188" t="s">
        <v>1527</v>
      </c>
      <c r="H108" s="15"/>
      <c r="I108" s="151">
        <v>238563111</v>
      </c>
      <c r="J108" s="26">
        <v>238563111</v>
      </c>
      <c r="K108" s="26">
        <f t="shared" si="1"/>
        <v>0</v>
      </c>
    </row>
    <row r="109" spans="1:11" ht="15">
      <c r="A109" s="166">
        <v>44308</v>
      </c>
      <c r="B109" s="28" t="s">
        <v>1847</v>
      </c>
      <c r="C109" s="168" t="s">
        <v>1798</v>
      </c>
      <c r="D109" s="28" t="s">
        <v>1799</v>
      </c>
      <c r="E109" s="115" t="s">
        <v>1824</v>
      </c>
      <c r="F109" s="29"/>
      <c r="G109" s="188" t="s">
        <v>1838</v>
      </c>
      <c r="H109" s="15"/>
      <c r="I109" s="151">
        <v>50250000</v>
      </c>
      <c r="J109" s="26">
        <v>50250000</v>
      </c>
      <c r="K109" s="26">
        <f t="shared" si="1"/>
        <v>0</v>
      </c>
    </row>
    <row r="110" spans="1:11" ht="15">
      <c r="A110" s="166">
        <v>44309</v>
      </c>
      <c r="B110" s="28" t="s">
        <v>1672</v>
      </c>
      <c r="C110" s="168" t="s">
        <v>1800</v>
      </c>
      <c r="D110" s="28" t="s">
        <v>1801</v>
      </c>
      <c r="E110" s="115" t="s">
        <v>1825</v>
      </c>
      <c r="F110" s="29"/>
      <c r="G110" s="188" t="s">
        <v>92</v>
      </c>
      <c r="H110" s="15"/>
      <c r="I110" s="151">
        <v>51200000</v>
      </c>
      <c r="J110" s="26">
        <v>49971200</v>
      </c>
      <c r="K110" s="26">
        <f t="shared" si="1"/>
        <v>1228800</v>
      </c>
    </row>
    <row r="111" spans="1:11" ht="15">
      <c r="A111" s="166">
        <v>44309</v>
      </c>
      <c r="B111" s="28" t="s">
        <v>1581</v>
      </c>
      <c r="C111" s="168" t="s">
        <v>1730</v>
      </c>
      <c r="D111" s="28" t="s">
        <v>1731</v>
      </c>
      <c r="E111" s="115" t="s">
        <v>1773</v>
      </c>
      <c r="F111" s="29"/>
      <c r="G111" s="188" t="s">
        <v>1758</v>
      </c>
      <c r="H111" s="15"/>
      <c r="I111" s="151">
        <v>540000000</v>
      </c>
      <c r="J111" s="26">
        <v>232346626</v>
      </c>
      <c r="K111" s="26">
        <f t="shared" si="1"/>
        <v>307653374</v>
      </c>
    </row>
    <row r="112" spans="1:11" ht="15">
      <c r="A112" s="166">
        <v>44309</v>
      </c>
      <c r="B112" s="28" t="s">
        <v>1488</v>
      </c>
      <c r="C112" s="168" t="s">
        <v>1802</v>
      </c>
      <c r="D112" s="28" t="s">
        <v>1797</v>
      </c>
      <c r="E112" s="115" t="s">
        <v>1826</v>
      </c>
      <c r="F112" s="29"/>
      <c r="G112" s="188" t="s">
        <v>1839</v>
      </c>
      <c r="H112" s="15"/>
      <c r="I112" s="151">
        <v>73370072</v>
      </c>
      <c r="J112" s="26">
        <v>0</v>
      </c>
      <c r="K112" s="26">
        <f t="shared" si="1"/>
        <v>73370072</v>
      </c>
    </row>
    <row r="113" spans="1:11" ht="15">
      <c r="A113" s="166">
        <v>44315</v>
      </c>
      <c r="B113" s="28" t="s">
        <v>1848</v>
      </c>
      <c r="C113" s="168" t="s">
        <v>1803</v>
      </c>
      <c r="D113" s="28" t="s">
        <v>1804</v>
      </c>
      <c r="E113" s="115" t="s">
        <v>1827</v>
      </c>
      <c r="F113" s="29"/>
      <c r="G113" s="115" t="s">
        <v>1840</v>
      </c>
      <c r="H113" s="15"/>
      <c r="I113" s="151">
        <v>10500000</v>
      </c>
      <c r="J113" s="26">
        <v>10500000</v>
      </c>
      <c r="K113" s="26">
        <f t="shared" si="1"/>
        <v>0</v>
      </c>
    </row>
    <row r="114" spans="1:11" ht="15">
      <c r="A114" s="166">
        <v>44316</v>
      </c>
      <c r="B114" s="28" t="s">
        <v>1849</v>
      </c>
      <c r="C114" s="168" t="s">
        <v>1805</v>
      </c>
      <c r="D114" s="28" t="s">
        <v>1806</v>
      </c>
      <c r="E114" s="115" t="s">
        <v>1828</v>
      </c>
      <c r="F114" s="29"/>
      <c r="G114" s="115" t="s">
        <v>1841</v>
      </c>
      <c r="H114" s="15"/>
      <c r="I114" s="151">
        <f>38400000-31840000</f>
        <v>6560000</v>
      </c>
      <c r="J114" s="26">
        <v>6560000</v>
      </c>
      <c r="K114" s="26">
        <f t="shared" si="1"/>
        <v>0</v>
      </c>
    </row>
    <row r="115" spans="1:11" ht="15">
      <c r="A115" s="166">
        <v>44316</v>
      </c>
      <c r="B115" s="28" t="s">
        <v>1549</v>
      </c>
      <c r="C115" s="168" t="s">
        <v>1807</v>
      </c>
      <c r="D115" s="28" t="s">
        <v>1808</v>
      </c>
      <c r="E115" s="115" t="s">
        <v>1829</v>
      </c>
      <c r="F115" s="29"/>
      <c r="G115" s="115" t="s">
        <v>1842</v>
      </c>
      <c r="H115" s="15"/>
      <c r="I115" s="151">
        <v>20480000</v>
      </c>
      <c r="J115" s="26">
        <v>20309333</v>
      </c>
      <c r="K115" s="26">
        <f t="shared" si="1"/>
        <v>170667</v>
      </c>
    </row>
    <row r="116" spans="1:11" ht="15">
      <c r="A116" s="166">
        <v>44316</v>
      </c>
      <c r="B116" s="28" t="s">
        <v>1545</v>
      </c>
      <c r="C116" s="168" t="s">
        <v>1809</v>
      </c>
      <c r="D116" s="28" t="s">
        <v>1803</v>
      </c>
      <c r="E116" s="115" t="s">
        <v>1830</v>
      </c>
      <c r="F116" s="29"/>
      <c r="G116" s="115" t="s">
        <v>1843</v>
      </c>
      <c r="H116" s="15"/>
      <c r="I116" s="151">
        <v>96000000</v>
      </c>
      <c r="J116" s="26">
        <v>94800000</v>
      </c>
      <c r="K116" s="26">
        <f t="shared" si="1"/>
        <v>1200000</v>
      </c>
    </row>
    <row r="117" spans="1:11" ht="15">
      <c r="A117" s="166">
        <v>44319</v>
      </c>
      <c r="B117" s="28" t="s">
        <v>1583</v>
      </c>
      <c r="C117" s="168" t="s">
        <v>1985</v>
      </c>
      <c r="D117" s="28" t="s">
        <v>1807</v>
      </c>
      <c r="E117" s="115" t="s">
        <v>2056</v>
      </c>
      <c r="F117" s="29"/>
      <c r="G117" s="115" t="s">
        <v>2029</v>
      </c>
      <c r="H117" s="15"/>
      <c r="I117" s="151">
        <v>9000000</v>
      </c>
      <c r="J117" s="26">
        <v>9000000</v>
      </c>
      <c r="K117" s="26">
        <f t="shared" si="1"/>
        <v>0</v>
      </c>
    </row>
    <row r="118" spans="1:11" ht="15">
      <c r="A118" s="166">
        <v>44319</v>
      </c>
      <c r="B118" s="28" t="s">
        <v>1543</v>
      </c>
      <c r="C118" s="168" t="s">
        <v>1986</v>
      </c>
      <c r="D118" s="28" t="s">
        <v>1805</v>
      </c>
      <c r="E118" s="115" t="s">
        <v>2057</v>
      </c>
      <c r="F118" s="29"/>
      <c r="G118" s="115" t="s">
        <v>2030</v>
      </c>
      <c r="H118" s="15"/>
      <c r="I118" s="151">
        <v>9000000</v>
      </c>
      <c r="J118" s="26">
        <v>9000000</v>
      </c>
      <c r="K118" s="26">
        <f t="shared" si="1"/>
        <v>0</v>
      </c>
    </row>
    <row r="119" spans="1:11" ht="15">
      <c r="A119" s="166">
        <v>44319</v>
      </c>
      <c r="B119" s="28" t="s">
        <v>1551</v>
      </c>
      <c r="C119" s="168" t="s">
        <v>1987</v>
      </c>
      <c r="D119" s="28" t="s">
        <v>1988</v>
      </c>
      <c r="E119" s="115" t="s">
        <v>2056</v>
      </c>
      <c r="F119" s="29"/>
      <c r="G119" s="115" t="s">
        <v>2031</v>
      </c>
      <c r="H119" s="15"/>
      <c r="I119" s="151">
        <v>9000000</v>
      </c>
      <c r="J119" s="26">
        <v>8700000</v>
      </c>
      <c r="K119" s="26">
        <f t="shared" si="1"/>
        <v>300000</v>
      </c>
    </row>
    <row r="120" spans="1:11" ht="15">
      <c r="A120" s="166">
        <v>44319</v>
      </c>
      <c r="B120" s="28" t="s">
        <v>1541</v>
      </c>
      <c r="C120" s="168" t="s">
        <v>1989</v>
      </c>
      <c r="D120" s="28" t="s">
        <v>1990</v>
      </c>
      <c r="E120" s="115" t="s">
        <v>2056</v>
      </c>
      <c r="F120" s="29"/>
      <c r="G120" s="115" t="s">
        <v>2032</v>
      </c>
      <c r="H120" s="15"/>
      <c r="I120" s="151">
        <v>9000000</v>
      </c>
      <c r="J120" s="26">
        <v>9000000</v>
      </c>
      <c r="K120" s="26">
        <f t="shared" si="1"/>
        <v>0</v>
      </c>
    </row>
    <row r="121" spans="1:11" ht="15">
      <c r="A121" s="166">
        <v>44319</v>
      </c>
      <c r="B121" s="28" t="s">
        <v>1586</v>
      </c>
      <c r="C121" s="168" t="s">
        <v>1991</v>
      </c>
      <c r="D121" s="28" t="s">
        <v>1809</v>
      </c>
      <c r="E121" s="115" t="s">
        <v>2056</v>
      </c>
      <c r="F121" s="29"/>
      <c r="G121" s="115" t="s">
        <v>2033</v>
      </c>
      <c r="H121" s="15"/>
      <c r="I121" s="151">
        <v>9000000</v>
      </c>
      <c r="J121" s="26">
        <v>9000000</v>
      </c>
      <c r="K121" s="26">
        <f t="shared" si="1"/>
        <v>0</v>
      </c>
    </row>
    <row r="122" spans="1:11" ht="15">
      <c r="A122" s="166">
        <v>44319</v>
      </c>
      <c r="B122" s="28" t="s">
        <v>2069</v>
      </c>
      <c r="C122" s="168" t="s">
        <v>1992</v>
      </c>
      <c r="D122" s="28" t="s">
        <v>1993</v>
      </c>
      <c r="E122" s="115" t="s">
        <v>2056</v>
      </c>
      <c r="F122" s="29"/>
      <c r="G122" s="115" t="s">
        <v>2034</v>
      </c>
      <c r="H122" s="15"/>
      <c r="I122" s="151">
        <v>9000000</v>
      </c>
      <c r="J122" s="26">
        <v>9000000</v>
      </c>
      <c r="K122" s="26">
        <f t="shared" si="1"/>
        <v>0</v>
      </c>
    </row>
    <row r="123" spans="1:11" ht="15">
      <c r="A123" s="166">
        <v>44319</v>
      </c>
      <c r="B123" s="28" t="s">
        <v>1497</v>
      </c>
      <c r="C123" s="168" t="s">
        <v>1994</v>
      </c>
      <c r="D123" s="28" t="s">
        <v>1995</v>
      </c>
      <c r="E123" s="115" t="s">
        <v>2056</v>
      </c>
      <c r="F123" s="29"/>
      <c r="G123" s="115" t="s">
        <v>2035</v>
      </c>
      <c r="H123" s="15"/>
      <c r="I123" s="151">
        <v>9000000</v>
      </c>
      <c r="J123" s="26">
        <v>9000000</v>
      </c>
      <c r="K123" s="26">
        <f t="shared" si="1"/>
        <v>0</v>
      </c>
    </row>
    <row r="124" spans="1:11" ht="15">
      <c r="A124" s="166">
        <v>44319</v>
      </c>
      <c r="B124" s="28" t="s">
        <v>1713</v>
      </c>
      <c r="C124" s="168" t="s">
        <v>1996</v>
      </c>
      <c r="D124" s="28" t="s">
        <v>1997</v>
      </c>
      <c r="E124" s="115" t="s">
        <v>2058</v>
      </c>
      <c r="F124" s="29"/>
      <c r="G124" s="115" t="s">
        <v>2036</v>
      </c>
      <c r="H124" s="15"/>
      <c r="I124" s="151">
        <v>9000000</v>
      </c>
      <c r="J124" s="26">
        <v>8700000</v>
      </c>
      <c r="K124" s="26">
        <f t="shared" si="1"/>
        <v>300000</v>
      </c>
    </row>
    <row r="125" spans="1:11" ht="15">
      <c r="A125" s="166">
        <v>44319</v>
      </c>
      <c r="B125" s="28" t="s">
        <v>1544</v>
      </c>
      <c r="C125" s="168" t="s">
        <v>1998</v>
      </c>
      <c r="D125" s="28" t="s">
        <v>1999</v>
      </c>
      <c r="E125" s="115" t="s">
        <v>2059</v>
      </c>
      <c r="F125" s="29"/>
      <c r="G125" s="115" t="s">
        <v>2037</v>
      </c>
      <c r="H125" s="15"/>
      <c r="I125" s="151">
        <v>9000000</v>
      </c>
      <c r="J125" s="26">
        <v>9000000</v>
      </c>
      <c r="K125" s="26">
        <f t="shared" si="1"/>
        <v>0</v>
      </c>
    </row>
    <row r="126" spans="1:11" ht="15">
      <c r="A126" s="166">
        <v>44320</v>
      </c>
      <c r="B126" s="28" t="s">
        <v>1499</v>
      </c>
      <c r="C126" s="168" t="s">
        <v>2000</v>
      </c>
      <c r="D126" s="28" t="s">
        <v>2000</v>
      </c>
      <c r="E126" s="115" t="s">
        <v>2056</v>
      </c>
      <c r="F126" s="29"/>
      <c r="G126" s="115" t="s">
        <v>2038</v>
      </c>
      <c r="H126" s="15"/>
      <c r="I126" s="151">
        <v>9000000</v>
      </c>
      <c r="J126" s="26">
        <v>9000000</v>
      </c>
      <c r="K126" s="26">
        <f t="shared" si="1"/>
        <v>0</v>
      </c>
    </row>
    <row r="127" spans="1:11" ht="15">
      <c r="A127" s="166">
        <v>44321</v>
      </c>
      <c r="B127" s="28" t="s">
        <v>1556</v>
      </c>
      <c r="C127" s="168" t="s">
        <v>1922</v>
      </c>
      <c r="D127" s="28" t="s">
        <v>2001</v>
      </c>
      <c r="E127" s="115" t="s">
        <v>2057</v>
      </c>
      <c r="F127" s="29"/>
      <c r="G127" s="115" t="s">
        <v>2039</v>
      </c>
      <c r="H127" s="15"/>
      <c r="I127" s="151">
        <v>9000000</v>
      </c>
      <c r="J127" s="26">
        <v>9000000</v>
      </c>
      <c r="K127" s="26">
        <f t="shared" si="1"/>
        <v>0</v>
      </c>
    </row>
    <row r="128" spans="1:11" ht="15">
      <c r="A128" s="166">
        <v>44321</v>
      </c>
      <c r="B128" s="28" t="s">
        <v>1599</v>
      </c>
      <c r="C128" s="168" t="s">
        <v>2002</v>
      </c>
      <c r="D128" s="28" t="s">
        <v>2003</v>
      </c>
      <c r="E128" s="115" t="s">
        <v>2056</v>
      </c>
      <c r="F128" s="29"/>
      <c r="G128" s="115" t="s">
        <v>2040</v>
      </c>
      <c r="H128" s="15"/>
      <c r="I128" s="151">
        <v>9000000</v>
      </c>
      <c r="J128" s="26">
        <v>9000000</v>
      </c>
      <c r="K128" s="26">
        <f t="shared" si="1"/>
        <v>0</v>
      </c>
    </row>
    <row r="129" spans="1:11" ht="15">
      <c r="A129" s="166">
        <v>44321</v>
      </c>
      <c r="B129" s="28" t="s">
        <v>1553</v>
      </c>
      <c r="C129" s="168" t="s">
        <v>2004</v>
      </c>
      <c r="D129" s="28" t="s">
        <v>1989</v>
      </c>
      <c r="E129" s="115" t="s">
        <v>2056</v>
      </c>
      <c r="F129" s="29"/>
      <c r="G129" s="115" t="s">
        <v>2041</v>
      </c>
      <c r="H129" s="15"/>
      <c r="I129" s="151">
        <v>9000000</v>
      </c>
      <c r="J129" s="26">
        <v>9000000</v>
      </c>
      <c r="K129" s="26">
        <f t="shared" si="1"/>
        <v>0</v>
      </c>
    </row>
    <row r="130" spans="1:11" ht="15">
      <c r="A130" s="166">
        <v>44322</v>
      </c>
      <c r="B130" s="28" t="s">
        <v>1678</v>
      </c>
      <c r="C130" s="168" t="s">
        <v>2005</v>
      </c>
      <c r="D130" s="28" t="s">
        <v>1992</v>
      </c>
      <c r="E130" s="115" t="s">
        <v>2056</v>
      </c>
      <c r="F130" s="29"/>
      <c r="G130" s="115" t="s">
        <v>2042</v>
      </c>
      <c r="H130" s="15"/>
      <c r="I130" s="151">
        <v>9000000</v>
      </c>
      <c r="J130" s="26">
        <v>9000000</v>
      </c>
      <c r="K130" s="26">
        <f t="shared" si="1"/>
        <v>0</v>
      </c>
    </row>
    <row r="131" spans="1:11" ht="15">
      <c r="A131" s="166">
        <v>44322</v>
      </c>
      <c r="B131" s="28" t="s">
        <v>1600</v>
      </c>
      <c r="C131" s="168" t="s">
        <v>1925</v>
      </c>
      <c r="D131" s="28" t="s">
        <v>1996</v>
      </c>
      <c r="E131" s="115" t="s">
        <v>2056</v>
      </c>
      <c r="F131" s="29"/>
      <c r="G131" s="115" t="s">
        <v>2043</v>
      </c>
      <c r="H131" s="15"/>
      <c r="I131" s="151">
        <v>9000000</v>
      </c>
      <c r="J131" s="26">
        <v>9000000</v>
      </c>
      <c r="K131" s="26">
        <f t="shared" si="1"/>
        <v>0</v>
      </c>
    </row>
    <row r="132" spans="1:11" ht="15">
      <c r="A132" s="166">
        <v>44322</v>
      </c>
      <c r="B132" s="28" t="s">
        <v>1578</v>
      </c>
      <c r="C132" s="168" t="s">
        <v>2006</v>
      </c>
      <c r="D132" s="28" t="s">
        <v>1987</v>
      </c>
      <c r="E132" s="115" t="s">
        <v>2056</v>
      </c>
      <c r="F132" s="29"/>
      <c r="G132" s="115" t="s">
        <v>2044</v>
      </c>
      <c r="H132" s="15"/>
      <c r="I132" s="151">
        <v>9000000</v>
      </c>
      <c r="J132" s="26">
        <v>9000000</v>
      </c>
      <c r="K132" s="26">
        <f t="shared" si="1"/>
        <v>0</v>
      </c>
    </row>
    <row r="133" spans="1:11" ht="15">
      <c r="A133" s="166">
        <v>44322</v>
      </c>
      <c r="B133" s="28" t="s">
        <v>461</v>
      </c>
      <c r="C133" s="168" t="s">
        <v>2007</v>
      </c>
      <c r="D133" s="28" t="s">
        <v>1998</v>
      </c>
      <c r="E133" s="115" t="s">
        <v>2057</v>
      </c>
      <c r="F133" s="29"/>
      <c r="G133" s="115" t="s">
        <v>2045</v>
      </c>
      <c r="H133" s="15"/>
      <c r="I133" s="151">
        <v>9000000</v>
      </c>
      <c r="J133" s="26">
        <v>9000000</v>
      </c>
      <c r="K133" s="26">
        <f t="shared" si="1"/>
        <v>0</v>
      </c>
    </row>
    <row r="134" spans="1:11" ht="15">
      <c r="A134" s="166">
        <v>44322</v>
      </c>
      <c r="B134" s="28" t="s">
        <v>1590</v>
      </c>
      <c r="C134" s="168" t="s">
        <v>1926</v>
      </c>
      <c r="D134" s="28" t="s">
        <v>1737</v>
      </c>
      <c r="E134" s="115" t="s">
        <v>2057</v>
      </c>
      <c r="F134" s="29"/>
      <c r="G134" s="115" t="s">
        <v>2046</v>
      </c>
      <c r="H134" s="15"/>
      <c r="I134" s="151">
        <v>9000000</v>
      </c>
      <c r="J134" s="26">
        <v>9000000</v>
      </c>
      <c r="K134" s="26">
        <f t="shared" si="1"/>
        <v>0</v>
      </c>
    </row>
    <row r="135" spans="1:11" ht="15">
      <c r="A135" s="166">
        <v>44322</v>
      </c>
      <c r="B135" s="28" t="s">
        <v>1275</v>
      </c>
      <c r="C135" s="168" t="s">
        <v>2008</v>
      </c>
      <c r="D135" s="28" t="s">
        <v>2009</v>
      </c>
      <c r="E135" s="115" t="s">
        <v>2060</v>
      </c>
      <c r="F135" s="29"/>
      <c r="G135" s="115" t="s">
        <v>1527</v>
      </c>
      <c r="H135" s="15"/>
      <c r="I135" s="151">
        <v>79400691</v>
      </c>
      <c r="J135" s="26">
        <v>79400691</v>
      </c>
      <c r="K135" s="26">
        <f t="shared" si="1"/>
        <v>0</v>
      </c>
    </row>
    <row r="136" spans="1:11" ht="15">
      <c r="A136" s="166">
        <v>44322</v>
      </c>
      <c r="B136" s="28" t="s">
        <v>1582</v>
      </c>
      <c r="C136" s="168" t="s">
        <v>2010</v>
      </c>
      <c r="D136" s="28" t="s">
        <v>1921</v>
      </c>
      <c r="E136" s="115" t="s">
        <v>2056</v>
      </c>
      <c r="F136" s="29"/>
      <c r="G136" s="115" t="s">
        <v>2047</v>
      </c>
      <c r="H136" s="15"/>
      <c r="I136" s="151">
        <v>9000000</v>
      </c>
      <c r="J136" s="26">
        <v>9000000</v>
      </c>
      <c r="K136" s="26">
        <f t="shared" si="1"/>
        <v>0</v>
      </c>
    </row>
    <row r="137" spans="1:11" ht="15">
      <c r="A137" s="166">
        <v>44323</v>
      </c>
      <c r="B137" s="28" t="s">
        <v>1607</v>
      </c>
      <c r="C137" s="168" t="s">
        <v>2011</v>
      </c>
      <c r="D137" s="28" t="s">
        <v>2012</v>
      </c>
      <c r="E137" s="115" t="s">
        <v>2057</v>
      </c>
      <c r="F137" s="29"/>
      <c r="G137" s="115" t="s">
        <v>2048</v>
      </c>
      <c r="H137" s="15"/>
      <c r="I137" s="151">
        <v>9000000</v>
      </c>
      <c r="J137" s="26">
        <v>9000000</v>
      </c>
      <c r="K137" s="26">
        <f t="shared" si="1"/>
        <v>0</v>
      </c>
    </row>
    <row r="138" spans="1:11" ht="15">
      <c r="A138" s="166">
        <v>44323</v>
      </c>
      <c r="B138" s="28" t="s">
        <v>1782</v>
      </c>
      <c r="C138" s="168" t="s">
        <v>1936</v>
      </c>
      <c r="D138" s="28" t="s">
        <v>2013</v>
      </c>
      <c r="E138" s="115" t="s">
        <v>2061</v>
      </c>
      <c r="F138" s="29"/>
      <c r="G138" s="115" t="s">
        <v>2049</v>
      </c>
      <c r="H138" s="15"/>
      <c r="I138" s="151">
        <f>393681104-45164161</f>
        <v>348516943</v>
      </c>
      <c r="J138" s="26">
        <v>348516943</v>
      </c>
      <c r="K138" s="26">
        <f t="shared" si="1"/>
        <v>0</v>
      </c>
    </row>
    <row r="139" spans="1:11" ht="15">
      <c r="A139" s="166">
        <v>44323</v>
      </c>
      <c r="B139" s="28" t="s">
        <v>1876</v>
      </c>
      <c r="C139" s="168" t="s">
        <v>2013</v>
      </c>
      <c r="D139" s="28" t="s">
        <v>2014</v>
      </c>
      <c r="E139" s="115" t="s">
        <v>2056</v>
      </c>
      <c r="F139" s="29"/>
      <c r="G139" s="115" t="s">
        <v>2050</v>
      </c>
      <c r="H139" s="15"/>
      <c r="I139" s="151">
        <v>9000000</v>
      </c>
      <c r="J139" s="26">
        <v>9000000</v>
      </c>
      <c r="K139" s="26">
        <f t="shared" si="1"/>
        <v>0</v>
      </c>
    </row>
    <row r="140" spans="1:11" ht="15">
      <c r="A140" s="166">
        <v>44323</v>
      </c>
      <c r="B140" s="28" t="s">
        <v>1683</v>
      </c>
      <c r="C140" s="168" t="s">
        <v>2015</v>
      </c>
      <c r="D140" s="28" t="s">
        <v>2016</v>
      </c>
      <c r="E140" s="115" t="s">
        <v>2062</v>
      </c>
      <c r="F140" s="29"/>
      <c r="G140" s="115" t="s">
        <v>2051</v>
      </c>
      <c r="H140" s="15"/>
      <c r="I140" s="151">
        <v>57720000</v>
      </c>
      <c r="J140" s="26">
        <v>52260000</v>
      </c>
      <c r="K140" s="26">
        <f t="shared" si="1"/>
        <v>5460000</v>
      </c>
    </row>
    <row r="141" spans="1:11" ht="15">
      <c r="A141" s="166">
        <v>44326</v>
      </c>
      <c r="B141" s="28" t="s">
        <v>1850</v>
      </c>
      <c r="C141" s="168" t="s">
        <v>2017</v>
      </c>
      <c r="D141" s="28" t="s">
        <v>2018</v>
      </c>
      <c r="E141" s="115" t="s">
        <v>2056</v>
      </c>
      <c r="F141" s="29"/>
      <c r="G141" s="115" t="s">
        <v>2052</v>
      </c>
      <c r="H141" s="15"/>
      <c r="I141" s="151">
        <v>9000000</v>
      </c>
      <c r="J141" s="26">
        <v>9000000</v>
      </c>
      <c r="K141" s="26">
        <f t="shared" si="1"/>
        <v>0</v>
      </c>
    </row>
    <row r="142" spans="1:11" ht="15">
      <c r="A142" s="166">
        <v>44326</v>
      </c>
      <c r="B142" s="28" t="s">
        <v>1502</v>
      </c>
      <c r="C142" s="168" t="s">
        <v>1796</v>
      </c>
      <c r="D142" s="28" t="s">
        <v>2011</v>
      </c>
      <c r="E142" s="115" t="s">
        <v>2063</v>
      </c>
      <c r="F142" s="29"/>
      <c r="G142" s="115" t="s">
        <v>2053</v>
      </c>
      <c r="H142" s="15"/>
      <c r="I142" s="151">
        <v>1805326323</v>
      </c>
      <c r="J142" s="26">
        <v>1805326323</v>
      </c>
      <c r="K142" s="26">
        <f t="shared" si="2" ref="K142:K205">+I142-J142</f>
        <v>0</v>
      </c>
    </row>
    <row r="143" spans="1:11" ht="15">
      <c r="A143" s="166">
        <v>44326</v>
      </c>
      <c r="B143" s="28" t="s">
        <v>1503</v>
      </c>
      <c r="C143" s="168" t="s">
        <v>1796</v>
      </c>
      <c r="D143" s="28" t="s">
        <v>2019</v>
      </c>
      <c r="E143" s="115" t="s">
        <v>2063</v>
      </c>
      <c r="F143" s="29"/>
      <c r="G143" s="115" t="s">
        <v>2054</v>
      </c>
      <c r="H143" s="15"/>
      <c r="I143" s="151">
        <v>99287341</v>
      </c>
      <c r="J143" s="26">
        <v>99287341</v>
      </c>
      <c r="K143" s="26">
        <f t="shared" si="2"/>
        <v>0</v>
      </c>
    </row>
    <row r="144" spans="1:11" ht="15">
      <c r="A144" s="166">
        <v>44327</v>
      </c>
      <c r="B144" s="28" t="s">
        <v>2070</v>
      </c>
      <c r="C144" s="168" t="s">
        <v>1189</v>
      </c>
      <c r="D144" s="28" t="s">
        <v>2020</v>
      </c>
      <c r="E144" s="115" t="s">
        <v>2064</v>
      </c>
      <c r="F144" s="29"/>
      <c r="G144" s="115" t="s">
        <v>1165</v>
      </c>
      <c r="H144" s="15"/>
      <c r="I144" s="151">
        <v>1425653</v>
      </c>
      <c r="J144" s="26">
        <v>1425653</v>
      </c>
      <c r="K144" s="26">
        <f t="shared" si="2"/>
        <v>0</v>
      </c>
    </row>
    <row r="145" spans="1:11" ht="15">
      <c r="A145" s="166">
        <v>44327</v>
      </c>
      <c r="B145" s="28" t="s">
        <v>1554</v>
      </c>
      <c r="C145" s="168" t="s">
        <v>1397</v>
      </c>
      <c r="D145" s="28" t="s">
        <v>1931</v>
      </c>
      <c r="E145" s="115" t="s">
        <v>1966</v>
      </c>
      <c r="F145" s="29"/>
      <c r="G145" s="115" t="s">
        <v>1979</v>
      </c>
      <c r="H145" s="15"/>
      <c r="I145" s="151">
        <v>50000000</v>
      </c>
      <c r="J145" s="26">
        <v>43657952</v>
      </c>
      <c r="K145" s="26">
        <f t="shared" si="2"/>
        <v>6342048</v>
      </c>
    </row>
    <row r="146" spans="1:11" ht="15">
      <c r="A146" s="166">
        <v>44328</v>
      </c>
      <c r="B146" s="28" t="s">
        <v>1546</v>
      </c>
      <c r="C146" s="168" t="s">
        <v>1995</v>
      </c>
      <c r="D146" s="28" t="s">
        <v>2021</v>
      </c>
      <c r="E146" s="115" t="s">
        <v>2065</v>
      </c>
      <c r="F146" s="29"/>
      <c r="G146" s="115" t="s">
        <v>1336</v>
      </c>
      <c r="H146" s="15"/>
      <c r="I146" s="151">
        <v>14677333</v>
      </c>
      <c r="J146" s="26">
        <v>14677333</v>
      </c>
      <c r="K146" s="26">
        <f t="shared" si="2"/>
        <v>0</v>
      </c>
    </row>
    <row r="147" spans="1:11" ht="15">
      <c r="A147" s="166">
        <v>44329</v>
      </c>
      <c r="B147" s="28" t="s">
        <v>2071</v>
      </c>
      <c r="C147" s="168" t="s">
        <v>2022</v>
      </c>
      <c r="D147" s="28" t="s">
        <v>2023</v>
      </c>
      <c r="E147" s="115" t="s">
        <v>2066</v>
      </c>
      <c r="F147" s="29"/>
      <c r="G147" s="115" t="s">
        <v>2055</v>
      </c>
      <c r="H147" s="15"/>
      <c r="I147" s="151">
        <v>15804000</v>
      </c>
      <c r="J147" s="26">
        <v>15804000</v>
      </c>
      <c r="K147" s="26">
        <f t="shared" si="2"/>
        <v>0</v>
      </c>
    </row>
    <row r="148" spans="1:11" ht="15">
      <c r="A148" s="166">
        <v>44329</v>
      </c>
      <c r="B148" s="28" t="s">
        <v>1598</v>
      </c>
      <c r="C148" s="168" t="s">
        <v>2001</v>
      </c>
      <c r="D148" s="28" t="s">
        <v>2024</v>
      </c>
      <c r="E148" s="115" t="s">
        <v>2067</v>
      </c>
      <c r="F148" s="29"/>
      <c r="G148" s="115" t="s">
        <v>1347</v>
      </c>
      <c r="H148" s="15"/>
      <c r="I148" s="151">
        <v>14336000</v>
      </c>
      <c r="J148" s="26">
        <v>14336000</v>
      </c>
      <c r="K148" s="26">
        <f t="shared" si="2"/>
        <v>0</v>
      </c>
    </row>
    <row r="149" spans="1:11" ht="15">
      <c r="A149" s="166">
        <v>44330</v>
      </c>
      <c r="B149" s="28" t="s">
        <v>1893</v>
      </c>
      <c r="C149" s="168" t="s">
        <v>2025</v>
      </c>
      <c r="D149" s="28" t="s">
        <v>2026</v>
      </c>
      <c r="E149" s="115" t="s">
        <v>2067</v>
      </c>
      <c r="F149" s="29"/>
      <c r="G149" s="115" t="s">
        <v>1339</v>
      </c>
      <c r="H149" s="15"/>
      <c r="I149" s="151">
        <v>14336000</v>
      </c>
      <c r="J149" s="26">
        <v>14336000</v>
      </c>
      <c r="K149" s="26">
        <f t="shared" si="2"/>
        <v>0</v>
      </c>
    </row>
    <row r="150" spans="1:11" ht="15">
      <c r="A150" s="166">
        <v>44335</v>
      </c>
      <c r="B150" s="28" t="s">
        <v>2072</v>
      </c>
      <c r="C150" s="168" t="s">
        <v>2027</v>
      </c>
      <c r="D150" s="28" t="s">
        <v>2028</v>
      </c>
      <c r="E150" s="115" t="s">
        <v>2068</v>
      </c>
      <c r="F150" s="29"/>
      <c r="G150" s="115" t="s">
        <v>1527</v>
      </c>
      <c r="H150" s="15"/>
      <c r="I150" s="151">
        <v>243133667</v>
      </c>
      <c r="J150" s="26">
        <v>243133667</v>
      </c>
      <c r="K150" s="26">
        <f t="shared" si="2"/>
        <v>0</v>
      </c>
    </row>
    <row r="151" spans="1:11" ht="15">
      <c r="A151" s="166">
        <v>44347</v>
      </c>
      <c r="B151" s="28" t="s">
        <v>1895</v>
      </c>
      <c r="C151" s="168" t="s">
        <v>1851</v>
      </c>
      <c r="D151" s="28" t="s">
        <v>1945</v>
      </c>
      <c r="E151" s="115" t="s">
        <v>1975</v>
      </c>
      <c r="F151" s="29"/>
      <c r="G151" s="115" t="s">
        <v>1984</v>
      </c>
      <c r="H151" s="15"/>
      <c r="I151" s="151">
        <v>70000000</v>
      </c>
      <c r="J151" s="26">
        <v>70000000</v>
      </c>
      <c r="K151" s="26">
        <f t="shared" si="2"/>
        <v>0</v>
      </c>
    </row>
    <row r="152" spans="1:11" ht="15">
      <c r="A152" s="166">
        <v>44348</v>
      </c>
      <c r="B152" s="28" t="s">
        <v>2318</v>
      </c>
      <c r="C152" s="168" t="s">
        <v>2270</v>
      </c>
      <c r="D152" s="28" t="s">
        <v>2271</v>
      </c>
      <c r="E152" s="115" t="s">
        <v>2300</v>
      </c>
      <c r="F152" s="29"/>
      <c r="G152" s="115" t="s">
        <v>1527</v>
      </c>
      <c r="H152" s="15"/>
      <c r="I152" s="151">
        <v>2095088</v>
      </c>
      <c r="J152" s="26">
        <v>2095088</v>
      </c>
      <c r="K152" s="26">
        <f t="shared" si="2"/>
        <v>0</v>
      </c>
    </row>
    <row r="153" spans="1:11" ht="15">
      <c r="A153" s="166">
        <v>44349</v>
      </c>
      <c r="B153" s="28" t="s">
        <v>2319</v>
      </c>
      <c r="C153" s="168" t="s">
        <v>1942</v>
      </c>
      <c r="D153" s="28" t="s">
        <v>2272</v>
      </c>
      <c r="E153" s="115" t="s">
        <v>2301</v>
      </c>
      <c r="F153" s="29"/>
      <c r="G153" s="115" t="s">
        <v>2324</v>
      </c>
      <c r="H153" s="15"/>
      <c r="I153" s="151">
        <v>27000000</v>
      </c>
      <c r="J153" s="26">
        <v>27000000</v>
      </c>
      <c r="K153" s="26">
        <f t="shared" si="2"/>
        <v>0</v>
      </c>
    </row>
    <row r="154" spans="1:11" ht="15">
      <c r="A154" s="166">
        <v>44349</v>
      </c>
      <c r="B154" s="28" t="s">
        <v>1788</v>
      </c>
      <c r="C154" s="168" t="s">
        <v>1702</v>
      </c>
      <c r="D154" s="28" t="s">
        <v>2273</v>
      </c>
      <c r="E154" s="115" t="s">
        <v>2302</v>
      </c>
      <c r="F154" s="29"/>
      <c r="G154" s="115" t="s">
        <v>2325</v>
      </c>
      <c r="H154" s="15"/>
      <c r="I154" s="151">
        <v>42000000</v>
      </c>
      <c r="J154" s="26">
        <v>41600000</v>
      </c>
      <c r="K154" s="26">
        <f t="shared" si="2"/>
        <v>400000</v>
      </c>
    </row>
    <row r="155" spans="1:11" ht="15">
      <c r="A155" s="166">
        <v>44349</v>
      </c>
      <c r="B155" s="28" t="s">
        <v>1796</v>
      </c>
      <c r="C155" s="168" t="s">
        <v>2274</v>
      </c>
      <c r="D155" s="28" t="s">
        <v>2275</v>
      </c>
      <c r="E155" s="115" t="s">
        <v>2303</v>
      </c>
      <c r="F155" s="29"/>
      <c r="G155" s="115" t="s">
        <v>2326</v>
      </c>
      <c r="H155" s="15"/>
      <c r="I155" s="151">
        <v>42000000</v>
      </c>
      <c r="J155" s="26">
        <v>41600000</v>
      </c>
      <c r="K155" s="26">
        <f t="shared" si="2"/>
        <v>400000</v>
      </c>
    </row>
    <row r="156" spans="1:11" ht="15">
      <c r="A156" s="166">
        <v>44350</v>
      </c>
      <c r="B156" s="28" t="s">
        <v>1793</v>
      </c>
      <c r="C156" s="168" t="s">
        <v>2276</v>
      </c>
      <c r="D156" s="28" t="s">
        <v>2270</v>
      </c>
      <c r="E156" s="115" t="s">
        <v>2304</v>
      </c>
      <c r="F156" s="29"/>
      <c r="G156" s="115" t="s">
        <v>2327</v>
      </c>
      <c r="H156" s="15"/>
      <c r="I156" s="151">
        <v>21000000</v>
      </c>
      <c r="J156" s="26">
        <v>20700000</v>
      </c>
      <c r="K156" s="26">
        <f t="shared" si="2"/>
        <v>300000</v>
      </c>
    </row>
    <row r="157" spans="1:11" ht="15">
      <c r="A157" s="166">
        <v>44350</v>
      </c>
      <c r="B157" s="28" t="s">
        <v>1791</v>
      </c>
      <c r="C157" s="168" t="s">
        <v>2130</v>
      </c>
      <c r="D157" s="28" t="s">
        <v>2277</v>
      </c>
      <c r="E157" s="115" t="s">
        <v>2302</v>
      </c>
      <c r="F157" s="29"/>
      <c r="G157" s="115" t="s">
        <v>2328</v>
      </c>
      <c r="H157" s="15"/>
      <c r="I157" s="151">
        <v>42000000</v>
      </c>
      <c r="J157" s="26">
        <v>41400000</v>
      </c>
      <c r="K157" s="26">
        <f t="shared" si="2"/>
        <v>600000</v>
      </c>
    </row>
    <row r="158" spans="1:11" ht="15">
      <c r="A158" s="166">
        <v>44351</v>
      </c>
      <c r="B158" s="28" t="s">
        <v>2320</v>
      </c>
      <c r="C158" s="168" t="s">
        <v>2278</v>
      </c>
      <c r="D158" s="28" t="s">
        <v>2279</v>
      </c>
      <c r="E158" s="115" t="s">
        <v>2305</v>
      </c>
      <c r="F158" s="29"/>
      <c r="G158" s="115" t="s">
        <v>1527</v>
      </c>
      <c r="H158" s="15"/>
      <c r="I158" s="151">
        <v>79983496</v>
      </c>
      <c r="J158" s="26">
        <v>79983496</v>
      </c>
      <c r="K158" s="26">
        <f t="shared" si="2"/>
        <v>0</v>
      </c>
    </row>
    <row r="159" spans="1:11" ht="15">
      <c r="A159" s="166">
        <v>44351</v>
      </c>
      <c r="B159" s="28" t="s">
        <v>2321</v>
      </c>
      <c r="C159" s="168" t="s">
        <v>2279</v>
      </c>
      <c r="D159" s="28" t="s">
        <v>2280</v>
      </c>
      <c r="E159" s="115" t="s">
        <v>2306</v>
      </c>
      <c r="F159" s="29"/>
      <c r="G159" s="115" t="s">
        <v>1527</v>
      </c>
      <c r="H159" s="15"/>
      <c r="I159" s="151">
        <v>401617777</v>
      </c>
      <c r="J159" s="26">
        <v>401617777</v>
      </c>
      <c r="K159" s="26">
        <f t="shared" si="2"/>
        <v>0</v>
      </c>
    </row>
    <row r="160" spans="1:11" ht="15">
      <c r="A160" s="166">
        <v>44351</v>
      </c>
      <c r="B160" s="28" t="s">
        <v>2322</v>
      </c>
      <c r="C160" s="168" t="s">
        <v>2281</v>
      </c>
      <c r="D160" s="28" t="s">
        <v>2282</v>
      </c>
      <c r="E160" s="115" t="s">
        <v>2307</v>
      </c>
      <c r="F160" s="29"/>
      <c r="G160" s="115" t="s">
        <v>1527</v>
      </c>
      <c r="H160" s="15"/>
      <c r="I160" s="151">
        <v>361510</v>
      </c>
      <c r="J160" s="26">
        <v>361510</v>
      </c>
      <c r="K160" s="26">
        <f t="shared" si="2"/>
        <v>0</v>
      </c>
    </row>
    <row r="161" spans="1:11" ht="15">
      <c r="A161" s="166">
        <v>44356</v>
      </c>
      <c r="B161" s="28" t="s">
        <v>1798</v>
      </c>
      <c r="C161" s="168" t="s">
        <v>2213</v>
      </c>
      <c r="D161" s="28" t="s">
        <v>2283</v>
      </c>
      <c r="E161" s="115" t="s">
        <v>1693</v>
      </c>
      <c r="F161" s="29"/>
      <c r="G161" s="115" t="s">
        <v>1686</v>
      </c>
      <c r="H161" s="15"/>
      <c r="I161" s="151">
        <v>31914666</v>
      </c>
      <c r="J161" s="26">
        <v>31914666</v>
      </c>
      <c r="K161" s="26">
        <f t="shared" si="2"/>
        <v>0</v>
      </c>
    </row>
    <row r="162" spans="1:11" ht="15">
      <c r="A162" s="166">
        <v>44356</v>
      </c>
      <c r="B162" s="28" t="s">
        <v>2323</v>
      </c>
      <c r="C162" s="168" t="s">
        <v>1497</v>
      </c>
      <c r="D162" s="28" t="s">
        <v>2284</v>
      </c>
      <c r="E162" s="115" t="s">
        <v>2308</v>
      </c>
      <c r="F162" s="29"/>
      <c r="G162" s="115" t="s">
        <v>1165</v>
      </c>
      <c r="H162" s="15"/>
      <c r="I162" s="151">
        <v>4408458</v>
      </c>
      <c r="J162" s="26">
        <v>4408458</v>
      </c>
      <c r="K162" s="26">
        <f t="shared" si="2"/>
        <v>0</v>
      </c>
    </row>
    <row r="163" spans="1:11" ht="15">
      <c r="A163" s="166">
        <v>44363</v>
      </c>
      <c r="B163" s="28" t="s">
        <v>1903</v>
      </c>
      <c r="C163" s="168" t="s">
        <v>2285</v>
      </c>
      <c r="D163" s="28" t="s">
        <v>2286</v>
      </c>
      <c r="E163" s="115" t="s">
        <v>2309</v>
      </c>
      <c r="F163" s="29"/>
      <c r="G163" s="115" t="s">
        <v>2329</v>
      </c>
      <c r="H163" s="15"/>
      <c r="I163" s="151">
        <v>36666667</v>
      </c>
      <c r="J163" s="26">
        <v>35750000</v>
      </c>
      <c r="K163" s="26">
        <f t="shared" si="2"/>
        <v>916667</v>
      </c>
    </row>
    <row r="164" spans="1:11" ht="15">
      <c r="A164" s="166">
        <v>44364</v>
      </c>
      <c r="B164" s="28" t="s">
        <v>1804</v>
      </c>
      <c r="C164" s="168" t="s">
        <v>2287</v>
      </c>
      <c r="D164" s="28" t="s">
        <v>2229</v>
      </c>
      <c r="E164" s="115" t="s">
        <v>2310</v>
      </c>
      <c r="F164" s="29"/>
      <c r="G164" s="115" t="s">
        <v>2330</v>
      </c>
      <c r="H164" s="15"/>
      <c r="I164" s="151">
        <v>32500000</v>
      </c>
      <c r="J164" s="26">
        <v>32333333</v>
      </c>
      <c r="K164" s="26">
        <f t="shared" si="2"/>
        <v>166667</v>
      </c>
    </row>
    <row r="165" spans="1:11" ht="15">
      <c r="A165" s="166">
        <v>44365</v>
      </c>
      <c r="B165" s="28" t="s">
        <v>1855</v>
      </c>
      <c r="C165" s="168" t="s">
        <v>2218</v>
      </c>
      <c r="D165" s="28" t="s">
        <v>2288</v>
      </c>
      <c r="E165" s="115" t="s">
        <v>2311</v>
      </c>
      <c r="F165" s="29"/>
      <c r="G165" s="115" t="s">
        <v>2331</v>
      </c>
      <c r="H165" s="15"/>
      <c r="I165" s="151">
        <v>42033334</v>
      </c>
      <c r="J165" s="26">
        <v>28166667</v>
      </c>
      <c r="K165" s="26">
        <f t="shared" si="2"/>
        <v>13866667</v>
      </c>
    </row>
    <row r="166" spans="1:11" ht="15">
      <c r="A166" s="166">
        <v>44368</v>
      </c>
      <c r="B166" s="28" t="s">
        <v>1733</v>
      </c>
      <c r="C166" s="168" t="s">
        <v>2289</v>
      </c>
      <c r="D166" s="28" t="s">
        <v>2290</v>
      </c>
      <c r="E166" s="115" t="s">
        <v>2312</v>
      </c>
      <c r="F166" s="29"/>
      <c r="G166" s="115" t="s">
        <v>2332</v>
      </c>
      <c r="H166" s="15"/>
      <c r="I166" s="151">
        <v>33280000</v>
      </c>
      <c r="J166" s="26">
        <v>26965333</v>
      </c>
      <c r="K166" s="26">
        <f t="shared" si="2"/>
        <v>6314667</v>
      </c>
    </row>
    <row r="167" spans="1:11" ht="15">
      <c r="A167" s="166">
        <v>44370</v>
      </c>
      <c r="B167" s="28" t="s">
        <v>1857</v>
      </c>
      <c r="C167" s="168" t="s">
        <v>2291</v>
      </c>
      <c r="D167" s="28" t="s">
        <v>2292</v>
      </c>
      <c r="E167" s="115" t="s">
        <v>2313</v>
      </c>
      <c r="F167" s="29"/>
      <c r="G167" s="115" t="s">
        <v>1632</v>
      </c>
      <c r="H167" s="15"/>
      <c r="I167" s="151">
        <v>250000000</v>
      </c>
      <c r="J167" s="26">
        <v>200000000</v>
      </c>
      <c r="K167" s="26">
        <f t="shared" si="2"/>
        <v>50000000</v>
      </c>
    </row>
    <row r="168" spans="1:11" ht="15">
      <c r="A168" s="166">
        <v>44370</v>
      </c>
      <c r="B168" s="28" t="s">
        <v>2091</v>
      </c>
      <c r="C168" s="168" t="s">
        <v>2286</v>
      </c>
      <c r="D168" s="28" t="s">
        <v>2293</v>
      </c>
      <c r="E168" s="115" t="s">
        <v>2314</v>
      </c>
      <c r="F168" s="29"/>
      <c r="G168" s="115" t="s">
        <v>2333</v>
      </c>
      <c r="H168" s="15"/>
      <c r="I168" s="151">
        <v>19000000</v>
      </c>
      <c r="J168" s="26">
        <v>18800000</v>
      </c>
      <c r="K168" s="26">
        <f t="shared" si="2"/>
        <v>200000</v>
      </c>
    </row>
    <row r="169" spans="1:11" ht="15">
      <c r="A169" s="166">
        <v>44370</v>
      </c>
      <c r="B169" s="28" t="s">
        <v>1738</v>
      </c>
      <c r="C169" s="168" t="s">
        <v>2028</v>
      </c>
      <c r="D169" s="28" t="s">
        <v>2294</v>
      </c>
      <c r="E169" s="115" t="s">
        <v>2209</v>
      </c>
      <c r="F169" s="29"/>
      <c r="G169" s="115" t="s">
        <v>2334</v>
      </c>
      <c r="H169" s="15"/>
      <c r="I169" s="151">
        <v>48461982</v>
      </c>
      <c r="J169" s="26">
        <v>48461982</v>
      </c>
      <c r="K169" s="26">
        <f t="shared" si="2"/>
        <v>0</v>
      </c>
    </row>
    <row r="170" spans="1:11" ht="15">
      <c r="A170" s="166">
        <v>44371</v>
      </c>
      <c r="B170" s="28" t="s">
        <v>1881</v>
      </c>
      <c r="C170" s="168" t="s">
        <v>2295</v>
      </c>
      <c r="D170" s="28" t="s">
        <v>2296</v>
      </c>
      <c r="E170" s="115" t="s">
        <v>2315</v>
      </c>
      <c r="F170" s="29"/>
      <c r="G170" s="115" t="s">
        <v>2335</v>
      </c>
      <c r="H170" s="15"/>
      <c r="I170" s="151">
        <v>32500000</v>
      </c>
      <c r="J170" s="26">
        <v>30333333</v>
      </c>
      <c r="K170" s="26">
        <f t="shared" si="2"/>
        <v>2166667</v>
      </c>
    </row>
    <row r="171" spans="1:11" ht="15">
      <c r="A171" s="166">
        <v>44372</v>
      </c>
      <c r="B171" s="28" t="s">
        <v>1807</v>
      </c>
      <c r="C171" s="168" t="s">
        <v>2297</v>
      </c>
      <c r="D171" s="28" t="s">
        <v>2298</v>
      </c>
      <c r="E171" s="115" t="s">
        <v>2316</v>
      </c>
      <c r="F171" s="29"/>
      <c r="G171" s="115" t="s">
        <v>2336</v>
      </c>
      <c r="H171" s="15"/>
      <c r="I171" s="151">
        <v>30833333</v>
      </c>
      <c r="J171" s="26">
        <v>30833333</v>
      </c>
      <c r="K171" s="26">
        <f t="shared" si="2"/>
        <v>0</v>
      </c>
    </row>
    <row r="172" spans="1:11" ht="15">
      <c r="A172" s="166">
        <v>44372</v>
      </c>
      <c r="B172" s="28" t="s">
        <v>1805</v>
      </c>
      <c r="C172" s="168" t="s">
        <v>2220</v>
      </c>
      <c r="D172" s="28" t="s">
        <v>2299</v>
      </c>
      <c r="E172" s="115" t="s">
        <v>2317</v>
      </c>
      <c r="F172" s="29"/>
      <c r="G172" s="115" t="s">
        <v>2337</v>
      </c>
      <c r="H172" s="15"/>
      <c r="I172" s="151">
        <v>30833333</v>
      </c>
      <c r="J172" s="26">
        <v>30833333</v>
      </c>
      <c r="K172" s="26">
        <f t="shared" si="2"/>
        <v>0</v>
      </c>
    </row>
    <row r="173" spans="1:11" ht="15">
      <c r="A173" s="166">
        <v>44378</v>
      </c>
      <c r="B173" s="28" t="s">
        <v>1809</v>
      </c>
      <c r="C173" s="168" t="s">
        <v>2217</v>
      </c>
      <c r="D173" s="28" t="s">
        <v>2484</v>
      </c>
      <c r="E173" s="115" t="s">
        <v>2543</v>
      </c>
      <c r="F173" s="29"/>
      <c r="G173" s="115" t="s">
        <v>1535</v>
      </c>
      <c r="H173" s="15"/>
      <c r="I173" s="151">
        <v>33200000</v>
      </c>
      <c r="J173" s="26">
        <v>33200000</v>
      </c>
      <c r="K173" s="26">
        <f t="shared" si="2"/>
        <v>0</v>
      </c>
    </row>
    <row r="174" spans="1:11" ht="15">
      <c r="A174" s="166">
        <v>44379</v>
      </c>
      <c r="B174" s="28" t="s">
        <v>2445</v>
      </c>
      <c r="C174" s="168" t="s">
        <v>1497</v>
      </c>
      <c r="D174" s="28" t="s">
        <v>2485</v>
      </c>
      <c r="E174" s="115" t="s">
        <v>2544</v>
      </c>
      <c r="F174" s="29"/>
      <c r="G174" s="115" t="s">
        <v>1165</v>
      </c>
      <c r="H174" s="15"/>
      <c r="I174" s="151">
        <v>4830900</v>
      </c>
      <c r="J174" s="26">
        <v>4830900</v>
      </c>
      <c r="K174" s="26">
        <f t="shared" si="2"/>
        <v>0</v>
      </c>
    </row>
    <row r="175" spans="1:11" ht="15">
      <c r="A175" s="166">
        <v>44379</v>
      </c>
      <c r="B175" s="28" t="s">
        <v>2445</v>
      </c>
      <c r="C175" s="168" t="s">
        <v>2338</v>
      </c>
      <c r="D175" s="28" t="s">
        <v>2486</v>
      </c>
      <c r="E175" s="115" t="s">
        <v>2545</v>
      </c>
      <c r="F175" s="29"/>
      <c r="G175" s="115" t="s">
        <v>1165</v>
      </c>
      <c r="H175" s="15"/>
      <c r="I175" s="151">
        <v>1500000</v>
      </c>
      <c r="J175" s="26">
        <v>1500000</v>
      </c>
      <c r="K175" s="26">
        <f t="shared" si="2"/>
        <v>0</v>
      </c>
    </row>
    <row r="176" spans="1:11" ht="15">
      <c r="A176" s="166">
        <v>44379</v>
      </c>
      <c r="B176" s="28" t="s">
        <v>1583</v>
      </c>
      <c r="C176" s="168" t="s">
        <v>2487</v>
      </c>
      <c r="D176" s="28" t="s">
        <v>2488</v>
      </c>
      <c r="E176" s="115" t="s">
        <v>2546</v>
      </c>
      <c r="F176" s="29"/>
      <c r="G176" s="115" t="s">
        <v>2029</v>
      </c>
      <c r="H176" s="15"/>
      <c r="I176" s="151">
        <v>4500000</v>
      </c>
      <c r="J176" s="26">
        <v>4500000</v>
      </c>
      <c r="K176" s="26">
        <f t="shared" si="2"/>
        <v>0</v>
      </c>
    </row>
    <row r="177" spans="1:11" ht="15">
      <c r="A177" s="166">
        <v>44379</v>
      </c>
      <c r="B177" s="28" t="s">
        <v>1556</v>
      </c>
      <c r="C177" s="168" t="s">
        <v>2489</v>
      </c>
      <c r="D177" s="28" t="s">
        <v>2490</v>
      </c>
      <c r="E177" s="115" t="s">
        <v>2547</v>
      </c>
      <c r="F177" s="29"/>
      <c r="G177" s="115" t="s">
        <v>2039</v>
      </c>
      <c r="H177" s="15"/>
      <c r="I177" s="151">
        <v>4500000</v>
      </c>
      <c r="J177" s="26">
        <v>4500000</v>
      </c>
      <c r="K177" s="26">
        <f t="shared" si="2"/>
        <v>0</v>
      </c>
    </row>
    <row r="178" spans="1:11" ht="15">
      <c r="A178" s="166">
        <v>44379</v>
      </c>
      <c r="B178" s="28" t="s">
        <v>1541</v>
      </c>
      <c r="C178" s="168" t="s">
        <v>2491</v>
      </c>
      <c r="D178" s="28" t="s">
        <v>2492</v>
      </c>
      <c r="E178" s="115" t="s">
        <v>2548</v>
      </c>
      <c r="F178" s="29"/>
      <c r="G178" s="115" t="s">
        <v>2032</v>
      </c>
      <c r="H178" s="15"/>
      <c r="I178" s="151">
        <v>4500000</v>
      </c>
      <c r="J178" s="26">
        <v>4500000</v>
      </c>
      <c r="K178" s="26">
        <f t="shared" si="2"/>
        <v>0</v>
      </c>
    </row>
    <row r="179" spans="1:11" ht="15">
      <c r="A179" s="166">
        <v>44379</v>
      </c>
      <c r="B179" s="28" t="s">
        <v>1582</v>
      </c>
      <c r="C179" s="168" t="s">
        <v>2493</v>
      </c>
      <c r="D179" s="28" t="s">
        <v>2494</v>
      </c>
      <c r="E179" s="115" t="s">
        <v>2549</v>
      </c>
      <c r="F179" s="29"/>
      <c r="G179" s="115" t="s">
        <v>2047</v>
      </c>
      <c r="H179" s="15"/>
      <c r="I179" s="151">
        <v>4500000</v>
      </c>
      <c r="J179" s="26">
        <v>4500000</v>
      </c>
      <c r="K179" s="26">
        <f t="shared" si="2"/>
        <v>0</v>
      </c>
    </row>
    <row r="180" spans="1:11" ht="15">
      <c r="A180" s="166">
        <v>44379</v>
      </c>
      <c r="B180" s="28" t="s">
        <v>1713</v>
      </c>
      <c r="C180" s="168" t="s">
        <v>2495</v>
      </c>
      <c r="D180" s="28" t="s">
        <v>2496</v>
      </c>
      <c r="E180" s="115" t="s">
        <v>2550</v>
      </c>
      <c r="F180" s="29"/>
      <c r="G180" s="115" t="s">
        <v>2036</v>
      </c>
      <c r="H180" s="15"/>
      <c r="I180" s="151">
        <v>4500000</v>
      </c>
      <c r="J180" s="26">
        <v>4500000</v>
      </c>
      <c r="K180" s="26">
        <f t="shared" si="2"/>
        <v>0</v>
      </c>
    </row>
    <row r="181" spans="1:11" ht="15">
      <c r="A181" s="166">
        <v>44379</v>
      </c>
      <c r="B181" s="28" t="s">
        <v>1578</v>
      </c>
      <c r="C181" s="168" t="s">
        <v>2497</v>
      </c>
      <c r="D181" s="28" t="s">
        <v>2498</v>
      </c>
      <c r="E181" s="115" t="s">
        <v>2551</v>
      </c>
      <c r="F181" s="29"/>
      <c r="G181" s="115" t="s">
        <v>2044</v>
      </c>
      <c r="H181" s="15"/>
      <c r="I181" s="151">
        <v>4500000</v>
      </c>
      <c r="J181" s="26">
        <v>4500000</v>
      </c>
      <c r="K181" s="26">
        <f t="shared" si="2"/>
        <v>0</v>
      </c>
    </row>
    <row r="182" spans="1:11" ht="15">
      <c r="A182" s="166">
        <v>44379</v>
      </c>
      <c r="B182" s="28" t="s">
        <v>1553</v>
      </c>
      <c r="C182" s="168" t="s">
        <v>2499</v>
      </c>
      <c r="D182" s="28" t="s">
        <v>2500</v>
      </c>
      <c r="E182" s="115" t="s">
        <v>2552</v>
      </c>
      <c r="F182" s="29"/>
      <c r="G182" s="115" t="s">
        <v>2041</v>
      </c>
      <c r="H182" s="15"/>
      <c r="I182" s="151">
        <v>4500000</v>
      </c>
      <c r="J182" s="26">
        <v>4500000</v>
      </c>
      <c r="K182" s="26">
        <f t="shared" si="2"/>
        <v>0</v>
      </c>
    </row>
    <row r="183" spans="1:11" ht="15">
      <c r="A183" s="166">
        <v>44379</v>
      </c>
      <c r="B183" s="28" t="s">
        <v>1586</v>
      </c>
      <c r="C183" s="168" t="s">
        <v>2501</v>
      </c>
      <c r="D183" s="28" t="s">
        <v>2405</v>
      </c>
      <c r="E183" s="115" t="s">
        <v>2553</v>
      </c>
      <c r="F183" s="29"/>
      <c r="G183" s="115" t="s">
        <v>2033</v>
      </c>
      <c r="H183" s="15"/>
      <c r="I183" s="151">
        <v>4500000</v>
      </c>
      <c r="J183" s="26">
        <v>4500000</v>
      </c>
      <c r="K183" s="26">
        <f t="shared" si="2"/>
        <v>0</v>
      </c>
    </row>
    <row r="184" spans="1:11" ht="15">
      <c r="A184" s="166">
        <v>44379</v>
      </c>
      <c r="B184" s="28" t="s">
        <v>1544</v>
      </c>
      <c r="C184" s="168" t="s">
        <v>2502</v>
      </c>
      <c r="D184" s="28" t="s">
        <v>2407</v>
      </c>
      <c r="E184" s="115" t="s">
        <v>2554</v>
      </c>
      <c r="F184" s="29"/>
      <c r="G184" s="115" t="s">
        <v>2037</v>
      </c>
      <c r="H184" s="15"/>
      <c r="I184" s="151">
        <v>4500000</v>
      </c>
      <c r="J184" s="26">
        <v>4500000</v>
      </c>
      <c r="K184" s="26">
        <f t="shared" si="2"/>
        <v>0</v>
      </c>
    </row>
    <row r="185" spans="1:11" ht="15">
      <c r="A185" s="166">
        <v>44379</v>
      </c>
      <c r="B185" s="28" t="s">
        <v>1678</v>
      </c>
      <c r="C185" s="168" t="s">
        <v>2503</v>
      </c>
      <c r="D185" s="28" t="s">
        <v>2504</v>
      </c>
      <c r="E185" s="115" t="s">
        <v>2555</v>
      </c>
      <c r="F185" s="29"/>
      <c r="G185" s="115" t="s">
        <v>2042</v>
      </c>
      <c r="H185" s="15"/>
      <c r="I185" s="151">
        <v>4500000</v>
      </c>
      <c r="J185" s="26">
        <v>4500000</v>
      </c>
      <c r="K185" s="26">
        <f t="shared" si="2"/>
        <v>0</v>
      </c>
    </row>
    <row r="186" spans="1:11" ht="15">
      <c r="A186" s="166">
        <v>44379</v>
      </c>
      <c r="B186" s="28" t="s">
        <v>1497</v>
      </c>
      <c r="C186" s="168" t="s">
        <v>2505</v>
      </c>
      <c r="D186" s="28" t="s">
        <v>2506</v>
      </c>
      <c r="E186" s="115" t="s">
        <v>2556</v>
      </c>
      <c r="F186" s="29"/>
      <c r="G186" s="115" t="s">
        <v>2035</v>
      </c>
      <c r="H186" s="15"/>
      <c r="I186" s="151">
        <v>4500000</v>
      </c>
      <c r="J186" s="26">
        <v>4500000</v>
      </c>
      <c r="K186" s="26">
        <f t="shared" si="2"/>
        <v>0</v>
      </c>
    </row>
    <row r="187" spans="1:11" ht="15">
      <c r="A187" s="166">
        <v>44379</v>
      </c>
      <c r="B187" s="28" t="s">
        <v>1499</v>
      </c>
      <c r="C187" s="168" t="s">
        <v>2507</v>
      </c>
      <c r="D187" s="28" t="s">
        <v>2508</v>
      </c>
      <c r="E187" s="115" t="s">
        <v>2557</v>
      </c>
      <c r="F187" s="29"/>
      <c r="G187" s="115" t="s">
        <v>2038</v>
      </c>
      <c r="H187" s="15"/>
      <c r="I187" s="151">
        <v>4500000</v>
      </c>
      <c r="J187" s="26">
        <v>4500000</v>
      </c>
      <c r="K187" s="26">
        <f t="shared" si="2"/>
        <v>0</v>
      </c>
    </row>
    <row r="188" spans="1:11" ht="15">
      <c r="A188" s="166">
        <v>44379</v>
      </c>
      <c r="B188" s="28" t="s">
        <v>461</v>
      </c>
      <c r="C188" s="168" t="s">
        <v>2509</v>
      </c>
      <c r="D188" s="28" t="s">
        <v>2510</v>
      </c>
      <c r="E188" s="115" t="s">
        <v>2558</v>
      </c>
      <c r="F188" s="29"/>
      <c r="G188" s="115" t="s">
        <v>2045</v>
      </c>
      <c r="H188" s="15"/>
      <c r="I188" s="151">
        <v>4500000</v>
      </c>
      <c r="J188" s="26">
        <v>4500000</v>
      </c>
      <c r="K188" s="26">
        <f t="shared" si="2"/>
        <v>0</v>
      </c>
    </row>
    <row r="189" spans="1:11" ht="15">
      <c r="A189" s="166">
        <v>44379</v>
      </c>
      <c r="B189" s="28" t="s">
        <v>1599</v>
      </c>
      <c r="C189" s="168" t="s">
        <v>2511</v>
      </c>
      <c r="D189" s="28" t="s">
        <v>2512</v>
      </c>
      <c r="E189" s="115" t="s">
        <v>2559</v>
      </c>
      <c r="F189" s="29"/>
      <c r="G189" s="115" t="s">
        <v>2040</v>
      </c>
      <c r="H189" s="15"/>
      <c r="I189" s="151">
        <v>4500000</v>
      </c>
      <c r="J189" s="26">
        <v>4500000</v>
      </c>
      <c r="K189" s="26">
        <f t="shared" si="2"/>
        <v>0</v>
      </c>
    </row>
    <row r="190" spans="1:11" ht="15">
      <c r="A190" s="166">
        <v>44384</v>
      </c>
      <c r="B190" s="28" t="s">
        <v>2577</v>
      </c>
      <c r="C190" s="168" t="s">
        <v>2513</v>
      </c>
      <c r="D190" s="28" t="s">
        <v>2493</v>
      </c>
      <c r="E190" s="115" t="s">
        <v>2560</v>
      </c>
      <c r="F190" s="29"/>
      <c r="G190" s="115" t="s">
        <v>1527</v>
      </c>
      <c r="H190" s="15"/>
      <c r="I190" s="151">
        <v>85167601</v>
      </c>
      <c r="J190" s="26">
        <v>85167601</v>
      </c>
      <c r="K190" s="26">
        <f t="shared" si="2"/>
        <v>0</v>
      </c>
    </row>
    <row r="191" spans="1:11" ht="15">
      <c r="A191" s="166">
        <v>44390</v>
      </c>
      <c r="B191" s="28" t="s">
        <v>1928</v>
      </c>
      <c r="C191" s="168" t="s">
        <v>2514</v>
      </c>
      <c r="D191" s="28" t="s">
        <v>2515</v>
      </c>
      <c r="E191" s="115" t="s">
        <v>2561</v>
      </c>
      <c r="F191" s="29"/>
      <c r="G191" s="115" t="s">
        <v>2579</v>
      </c>
      <c r="H191" s="15"/>
      <c r="I191" s="151">
        <v>28833333</v>
      </c>
      <c r="J191" s="26">
        <v>28000000</v>
      </c>
      <c r="K191" s="26">
        <f t="shared" si="2"/>
        <v>833333</v>
      </c>
    </row>
    <row r="192" spans="1:11" ht="15">
      <c r="A192" s="166">
        <v>44390</v>
      </c>
      <c r="B192" s="28" t="s">
        <v>1929</v>
      </c>
      <c r="C192" s="168" t="s">
        <v>2410</v>
      </c>
      <c r="D192" s="28" t="s">
        <v>2516</v>
      </c>
      <c r="E192" s="115" t="s">
        <v>2562</v>
      </c>
      <c r="F192" s="29"/>
      <c r="G192" s="115" t="s">
        <v>2580</v>
      </c>
      <c r="H192" s="15"/>
      <c r="I192" s="151">
        <v>25147995</v>
      </c>
      <c r="J192" s="26">
        <v>24130446</v>
      </c>
      <c r="K192" s="26">
        <f t="shared" si="2"/>
        <v>1017549</v>
      </c>
    </row>
    <row r="193" spans="1:11" ht="15">
      <c r="A193" s="166">
        <v>44390</v>
      </c>
      <c r="B193" s="28" t="s">
        <v>2017</v>
      </c>
      <c r="C193" s="168" t="s">
        <v>2517</v>
      </c>
      <c r="D193" s="28" t="s">
        <v>2518</v>
      </c>
      <c r="E193" s="115" t="s">
        <v>2563</v>
      </c>
      <c r="F193" s="29"/>
      <c r="G193" s="115" t="s">
        <v>2581</v>
      </c>
      <c r="H193" s="15"/>
      <c r="I193" s="151">
        <v>30000000</v>
      </c>
      <c r="J193" s="26">
        <v>28000000</v>
      </c>
      <c r="K193" s="26">
        <f t="shared" si="2"/>
        <v>2000000</v>
      </c>
    </row>
    <row r="194" spans="1:11" ht="15">
      <c r="A194" s="166">
        <v>44391</v>
      </c>
      <c r="B194" s="28" t="s">
        <v>2099</v>
      </c>
      <c r="C194" s="168" t="s">
        <v>2519</v>
      </c>
      <c r="D194" s="28" t="s">
        <v>2520</v>
      </c>
      <c r="E194" s="115" t="s">
        <v>2564</v>
      </c>
      <c r="F194" s="29"/>
      <c r="G194" s="115" t="s">
        <v>2582</v>
      </c>
      <c r="H194" s="15"/>
      <c r="I194" s="151">
        <v>34400000</v>
      </c>
      <c r="J194" s="26">
        <v>33400000</v>
      </c>
      <c r="K194" s="26">
        <f t="shared" si="2"/>
        <v>1000000</v>
      </c>
    </row>
    <row r="195" spans="1:11" ht="15">
      <c r="A195" s="166">
        <v>44391</v>
      </c>
      <c r="B195" s="28" t="s">
        <v>2011</v>
      </c>
      <c r="C195" s="168" t="s">
        <v>2521</v>
      </c>
      <c r="D195" s="28" t="s">
        <v>2522</v>
      </c>
      <c r="E195" s="115" t="s">
        <v>2565</v>
      </c>
      <c r="F195" s="29"/>
      <c r="G195" s="115" t="s">
        <v>2583</v>
      </c>
      <c r="H195" s="15"/>
      <c r="I195" s="151">
        <v>28763020</v>
      </c>
      <c r="J195" s="26">
        <v>27765459</v>
      </c>
      <c r="K195" s="26">
        <f t="shared" si="2"/>
        <v>997561</v>
      </c>
    </row>
    <row r="196" spans="1:11" ht="15">
      <c r="A196" s="166">
        <v>44392</v>
      </c>
      <c r="B196" s="28" t="s">
        <v>1935</v>
      </c>
      <c r="C196" s="168" t="s">
        <v>2522</v>
      </c>
      <c r="D196" s="28" t="s">
        <v>2523</v>
      </c>
      <c r="E196" s="115" t="s">
        <v>2566</v>
      </c>
      <c r="F196" s="29"/>
      <c r="G196" s="115" t="s">
        <v>2584</v>
      </c>
      <c r="H196" s="15"/>
      <c r="I196" s="151">
        <v>57333333</v>
      </c>
      <c r="J196" s="26">
        <v>54000000</v>
      </c>
      <c r="K196" s="26">
        <f t="shared" si="2"/>
        <v>3333333</v>
      </c>
    </row>
    <row r="197" spans="1:11" ht="15">
      <c r="A197" s="166">
        <v>44396</v>
      </c>
      <c r="B197" s="28" t="s">
        <v>2578</v>
      </c>
      <c r="C197" s="168" t="s">
        <v>2524</v>
      </c>
      <c r="D197" s="28" t="s">
        <v>2525</v>
      </c>
      <c r="E197" s="115" t="s">
        <v>2567</v>
      </c>
      <c r="F197" s="29"/>
      <c r="G197" s="115" t="s">
        <v>1527</v>
      </c>
      <c r="H197" s="15"/>
      <c r="I197" s="151">
        <v>217303148</v>
      </c>
      <c r="J197" s="26">
        <v>217303148</v>
      </c>
      <c r="K197" s="26">
        <f t="shared" si="2"/>
        <v>0</v>
      </c>
    </row>
    <row r="198" spans="1:11" ht="15">
      <c r="A198" s="166">
        <v>44399</v>
      </c>
      <c r="B198" s="28" t="s">
        <v>2129</v>
      </c>
      <c r="C198" s="168" t="s">
        <v>2526</v>
      </c>
      <c r="D198" s="28" t="s">
        <v>2438</v>
      </c>
      <c r="E198" s="115" t="s">
        <v>2568</v>
      </c>
      <c r="F198" s="29"/>
      <c r="G198" s="115" t="s">
        <v>2585</v>
      </c>
      <c r="H198" s="15"/>
      <c r="I198" s="151">
        <v>28000000</v>
      </c>
      <c r="J198" s="26">
        <v>26500000</v>
      </c>
      <c r="K198" s="26">
        <f t="shared" si="2"/>
        <v>1500000</v>
      </c>
    </row>
    <row r="199" spans="1:11" ht="15">
      <c r="A199" s="166">
        <v>44403</v>
      </c>
      <c r="B199" s="28" t="s">
        <v>2276</v>
      </c>
      <c r="C199" s="168" t="s">
        <v>2527</v>
      </c>
      <c r="D199" s="28" t="s">
        <v>2528</v>
      </c>
      <c r="E199" s="115" t="s">
        <v>2569</v>
      </c>
      <c r="F199" s="29"/>
      <c r="G199" s="115" t="s">
        <v>334</v>
      </c>
      <c r="H199" s="15"/>
      <c r="I199" s="151">
        <v>30037333</v>
      </c>
      <c r="J199" s="26">
        <v>29098667</v>
      </c>
      <c r="K199" s="26">
        <f t="shared" si="2"/>
        <v>938666</v>
      </c>
    </row>
    <row r="200" spans="1:11" ht="15">
      <c r="A200" s="166">
        <v>44403</v>
      </c>
      <c r="B200" s="28" t="s">
        <v>2274</v>
      </c>
      <c r="C200" s="168" t="s">
        <v>2529</v>
      </c>
      <c r="D200" s="28" t="s">
        <v>2530</v>
      </c>
      <c r="E200" s="115" t="s">
        <v>2570</v>
      </c>
      <c r="F200" s="29"/>
      <c r="G200" s="115" t="s">
        <v>182</v>
      </c>
      <c r="H200" s="15"/>
      <c r="I200" s="151">
        <v>35976533</v>
      </c>
      <c r="J200" s="26">
        <v>35744427</v>
      </c>
      <c r="K200" s="26">
        <f t="shared" si="2"/>
        <v>232106</v>
      </c>
    </row>
    <row r="201" spans="1:11" ht="15">
      <c r="A201" s="166">
        <v>44403</v>
      </c>
      <c r="B201" s="28" t="s">
        <v>2179</v>
      </c>
      <c r="C201" s="168" t="s">
        <v>2423</v>
      </c>
      <c r="D201" s="28" t="s">
        <v>2531</v>
      </c>
      <c r="E201" s="115" t="s">
        <v>2571</v>
      </c>
      <c r="F201" s="29"/>
      <c r="G201" s="115" t="s">
        <v>418</v>
      </c>
      <c r="H201" s="15"/>
      <c r="I201" s="151">
        <v>25316667</v>
      </c>
      <c r="J201" s="26">
        <v>25316667</v>
      </c>
      <c r="K201" s="26">
        <f t="shared" si="2"/>
        <v>0</v>
      </c>
    </row>
    <row r="202" spans="1:11" ht="15">
      <c r="A202" s="166">
        <v>44403</v>
      </c>
      <c r="B202" s="28" t="s">
        <v>2098</v>
      </c>
      <c r="C202" s="168" t="s">
        <v>2532</v>
      </c>
      <c r="D202" s="28" t="s">
        <v>2533</v>
      </c>
      <c r="E202" s="115" t="s">
        <v>2572</v>
      </c>
      <c r="F202" s="29"/>
      <c r="G202" s="115" t="s">
        <v>2586</v>
      </c>
      <c r="H202" s="15"/>
      <c r="I202" s="151">
        <v>76593664</v>
      </c>
      <c r="J202" s="26">
        <v>0</v>
      </c>
      <c r="K202" s="26">
        <f t="shared" si="2"/>
        <v>76593664</v>
      </c>
    </row>
    <row r="203" spans="1:11" ht="15">
      <c r="A203" s="166">
        <v>44405</v>
      </c>
      <c r="B203" s="28" t="s">
        <v>2281</v>
      </c>
      <c r="C203" s="168" t="s">
        <v>2534</v>
      </c>
      <c r="D203" s="28" t="s">
        <v>2535</v>
      </c>
      <c r="E203" s="115" t="s">
        <v>2573</v>
      </c>
      <c r="F203" s="29"/>
      <c r="G203" s="115" t="s">
        <v>71</v>
      </c>
      <c r="H203" s="15"/>
      <c r="I203" s="151">
        <v>35512320</v>
      </c>
      <c r="J203" s="26">
        <v>35512320</v>
      </c>
      <c r="K203" s="26">
        <f t="shared" si="2"/>
        <v>0</v>
      </c>
    </row>
    <row r="204" spans="1:11" ht="15">
      <c r="A204" s="166">
        <v>44405</v>
      </c>
      <c r="B204" s="28" t="s">
        <v>2277</v>
      </c>
      <c r="C204" s="168" t="s">
        <v>2536</v>
      </c>
      <c r="D204" s="28" t="s">
        <v>2537</v>
      </c>
      <c r="E204" s="115" t="s">
        <v>2574</v>
      </c>
      <c r="F204" s="29"/>
      <c r="G204" s="115" t="s">
        <v>2587</v>
      </c>
      <c r="H204" s="15"/>
      <c r="I204" s="151">
        <v>13333333</v>
      </c>
      <c r="J204" s="26">
        <v>12750000</v>
      </c>
      <c r="K204" s="26">
        <f t="shared" si="2"/>
        <v>583333</v>
      </c>
    </row>
    <row r="205" spans="1:11" ht="15">
      <c r="A205" s="166">
        <v>44406</v>
      </c>
      <c r="B205" s="28" t="s">
        <v>2130</v>
      </c>
      <c r="C205" s="168" t="s">
        <v>2538</v>
      </c>
      <c r="D205" s="28" t="s">
        <v>2539</v>
      </c>
      <c r="E205" s="115" t="s">
        <v>2575</v>
      </c>
      <c r="F205" s="29"/>
      <c r="G205" s="115" t="s">
        <v>326</v>
      </c>
      <c r="H205" s="15"/>
      <c r="I205" s="151">
        <v>35512320</v>
      </c>
      <c r="J205" s="26">
        <v>35280213</v>
      </c>
      <c r="K205" s="26">
        <f t="shared" si="2"/>
        <v>232107</v>
      </c>
    </row>
    <row r="206" spans="1:11" ht="15">
      <c r="A206" s="166">
        <v>44406</v>
      </c>
      <c r="B206" s="28" t="s">
        <v>2342</v>
      </c>
      <c r="C206" s="168" t="s">
        <v>2531</v>
      </c>
      <c r="D206" s="28" t="s">
        <v>2540</v>
      </c>
      <c r="E206" s="115" t="s">
        <v>2191</v>
      </c>
      <c r="F206" s="29"/>
      <c r="G206" s="115" t="s">
        <v>328</v>
      </c>
      <c r="H206" s="15"/>
      <c r="I206" s="151">
        <v>10581333</v>
      </c>
      <c r="J206" s="26">
        <v>2116267</v>
      </c>
      <c r="K206" s="26">
        <f t="shared" si="3" ref="K206:K269">+I206-J206</f>
        <v>8465066</v>
      </c>
    </row>
    <row r="207" spans="1:11" ht="15">
      <c r="A207" s="166">
        <v>44407</v>
      </c>
      <c r="B207" s="28" t="s">
        <v>2222</v>
      </c>
      <c r="C207" s="168" t="s">
        <v>2541</v>
      </c>
      <c r="D207" s="28" t="s">
        <v>2542</v>
      </c>
      <c r="E207" s="115" t="s">
        <v>2576</v>
      </c>
      <c r="F207" s="29"/>
      <c r="G207" s="115" t="s">
        <v>630</v>
      </c>
      <c r="H207" s="15"/>
      <c r="I207" s="151">
        <v>25666667</v>
      </c>
      <c r="J207" s="26">
        <v>25166667</v>
      </c>
      <c r="K207" s="26">
        <f t="shared" si="3"/>
        <v>500000</v>
      </c>
    </row>
    <row r="208" spans="1:11" ht="15">
      <c r="A208" s="166">
        <v>44410</v>
      </c>
      <c r="B208" s="28" t="s">
        <v>2373</v>
      </c>
      <c r="C208" s="168" t="s">
        <v>2533</v>
      </c>
      <c r="D208" s="28" t="s">
        <v>3014</v>
      </c>
      <c r="E208" s="115" t="s">
        <v>3108</v>
      </c>
      <c r="F208" s="29"/>
      <c r="G208" s="115" t="s">
        <v>1317</v>
      </c>
      <c r="H208" s="15"/>
      <c r="I208" s="151">
        <v>24500000</v>
      </c>
      <c r="J208" s="26">
        <v>24336667</v>
      </c>
      <c r="K208" s="26">
        <f t="shared" si="3"/>
        <v>163333</v>
      </c>
    </row>
    <row r="209" spans="1:11" ht="15">
      <c r="A209" s="166">
        <v>44411</v>
      </c>
      <c r="B209" s="28" t="s">
        <v>2289</v>
      </c>
      <c r="C209" s="168" t="s">
        <v>2849</v>
      </c>
      <c r="D209" s="28" t="s">
        <v>2938</v>
      </c>
      <c r="E209" s="115" t="s">
        <v>3109</v>
      </c>
      <c r="F209" s="29"/>
      <c r="G209" s="115" t="s">
        <v>3082</v>
      </c>
      <c r="H209" s="15"/>
      <c r="I209" s="151">
        <v>26666667</v>
      </c>
      <c r="J209" s="26">
        <v>24666667</v>
      </c>
      <c r="K209" s="26">
        <f t="shared" si="3"/>
        <v>2000000</v>
      </c>
    </row>
    <row r="210" spans="1:11" ht="15">
      <c r="A210" s="166">
        <v>44412</v>
      </c>
      <c r="B210" s="28" t="s">
        <v>2768</v>
      </c>
      <c r="C210" s="168" t="s">
        <v>3015</v>
      </c>
      <c r="D210" s="28" t="s">
        <v>3016</v>
      </c>
      <c r="E210" s="115" t="s">
        <v>3110</v>
      </c>
      <c r="F210" s="29"/>
      <c r="G210" s="115" t="s">
        <v>3083</v>
      </c>
      <c r="H210" s="15"/>
      <c r="I210" s="151">
        <v>10103467</v>
      </c>
      <c r="J210" s="26">
        <v>10035200</v>
      </c>
      <c r="K210" s="26">
        <f t="shared" si="3"/>
        <v>68267</v>
      </c>
    </row>
    <row r="211" spans="1:11" ht="15">
      <c r="A211" s="166">
        <v>44412</v>
      </c>
      <c r="B211" s="28" t="s">
        <v>2766</v>
      </c>
      <c r="C211" s="168" t="s">
        <v>3017</v>
      </c>
      <c r="D211" s="28" t="s">
        <v>3018</v>
      </c>
      <c r="E211" s="115" t="s">
        <v>3111</v>
      </c>
      <c r="F211" s="29"/>
      <c r="G211" s="115" t="s">
        <v>3084</v>
      </c>
      <c r="H211" s="15"/>
      <c r="I211" s="151">
        <v>10103467</v>
      </c>
      <c r="J211" s="26">
        <v>10035200</v>
      </c>
      <c r="K211" s="26">
        <f t="shared" si="3"/>
        <v>68267</v>
      </c>
    </row>
    <row r="212" spans="1:11" ht="15">
      <c r="A212" s="166">
        <v>44412</v>
      </c>
      <c r="B212" s="28" t="s">
        <v>2769</v>
      </c>
      <c r="C212" s="168" t="s">
        <v>3019</v>
      </c>
      <c r="D212" s="28" t="s">
        <v>3020</v>
      </c>
      <c r="E212" s="115" t="s">
        <v>3111</v>
      </c>
      <c r="F212" s="29"/>
      <c r="G212" s="115" t="s">
        <v>3085</v>
      </c>
      <c r="H212" s="15"/>
      <c r="I212" s="151">
        <v>10103467</v>
      </c>
      <c r="J212" s="26">
        <v>10035200</v>
      </c>
      <c r="K212" s="26">
        <f t="shared" si="3"/>
        <v>68267</v>
      </c>
    </row>
    <row r="213" spans="1:11" ht="15">
      <c r="A213" s="166">
        <v>44412</v>
      </c>
      <c r="B213" s="28" t="s">
        <v>2226</v>
      </c>
      <c r="C213" s="168" t="s">
        <v>2417</v>
      </c>
      <c r="D213" s="28" t="s">
        <v>2924</v>
      </c>
      <c r="E213" s="115" t="s">
        <v>3112</v>
      </c>
      <c r="F213" s="29"/>
      <c r="G213" s="115" t="s">
        <v>3086</v>
      </c>
      <c r="H213" s="15"/>
      <c r="I213" s="151">
        <v>24166667</v>
      </c>
      <c r="J213" s="26">
        <v>24166667</v>
      </c>
      <c r="K213" s="26">
        <f t="shared" si="3"/>
        <v>0</v>
      </c>
    </row>
    <row r="214" spans="1:11" ht="15">
      <c r="A214" s="166">
        <v>44412</v>
      </c>
      <c r="B214" s="28" t="s">
        <v>2291</v>
      </c>
      <c r="C214" s="168" t="s">
        <v>2435</v>
      </c>
      <c r="D214" s="28" t="s">
        <v>2917</v>
      </c>
      <c r="E214" s="115" t="s">
        <v>3113</v>
      </c>
      <c r="F214" s="29"/>
      <c r="G214" s="115" t="s">
        <v>631</v>
      </c>
      <c r="H214" s="15"/>
      <c r="I214" s="151">
        <v>21850000</v>
      </c>
      <c r="J214" s="26">
        <v>20539000</v>
      </c>
      <c r="K214" s="26">
        <f t="shared" si="3"/>
        <v>1311000</v>
      </c>
    </row>
    <row r="215" spans="1:11" ht="15">
      <c r="A215" s="166">
        <v>44412</v>
      </c>
      <c r="B215" s="28" t="s">
        <v>2220</v>
      </c>
      <c r="C215" s="168" t="s">
        <v>2433</v>
      </c>
      <c r="D215" s="28" t="s">
        <v>3021</v>
      </c>
      <c r="E215" s="115" t="s">
        <v>3114</v>
      </c>
      <c r="F215" s="29"/>
      <c r="G215" s="115" t="s">
        <v>635</v>
      </c>
      <c r="H215" s="15"/>
      <c r="I215" s="151">
        <v>32500000</v>
      </c>
      <c r="J215" s="26">
        <v>27516667</v>
      </c>
      <c r="K215" s="26">
        <f t="shared" si="3"/>
        <v>4983333</v>
      </c>
    </row>
    <row r="216" spans="1:11" ht="15">
      <c r="A216" s="166">
        <v>44412</v>
      </c>
      <c r="B216" s="28" t="s">
        <v>2233</v>
      </c>
      <c r="C216" s="168" t="s">
        <v>2658</v>
      </c>
      <c r="D216" s="28" t="s">
        <v>2926</v>
      </c>
      <c r="E216" s="115" t="s">
        <v>3115</v>
      </c>
      <c r="F216" s="29"/>
      <c r="G216" s="115" t="s">
        <v>615</v>
      </c>
      <c r="H216" s="15"/>
      <c r="I216" s="151">
        <v>35000000</v>
      </c>
      <c r="J216" s="26">
        <v>32900000</v>
      </c>
      <c r="K216" s="26">
        <f t="shared" si="3"/>
        <v>2100000</v>
      </c>
    </row>
    <row r="217" spans="1:11" ht="15">
      <c r="A217" s="166">
        <v>44412</v>
      </c>
      <c r="B217" s="28" t="s">
        <v>2223</v>
      </c>
      <c r="C217" s="168" t="s">
        <v>2125</v>
      </c>
      <c r="D217" s="28" t="s">
        <v>2930</v>
      </c>
      <c r="E217" s="115" t="s">
        <v>3116</v>
      </c>
      <c r="F217" s="29"/>
      <c r="G217" s="115" t="s">
        <v>3087</v>
      </c>
      <c r="H217" s="15"/>
      <c r="I217" s="151">
        <v>3792595926</v>
      </c>
      <c r="J217" s="26">
        <v>3640892089</v>
      </c>
      <c r="K217" s="26">
        <f t="shared" si="3"/>
        <v>151703837</v>
      </c>
    </row>
    <row r="218" spans="1:11" ht="15">
      <c r="A218" s="166">
        <v>44413</v>
      </c>
      <c r="B218" s="28" t="s">
        <v>2755</v>
      </c>
      <c r="C218" s="168" t="s">
        <v>3022</v>
      </c>
      <c r="D218" s="28" t="s">
        <v>3023</v>
      </c>
      <c r="E218" s="115" t="s">
        <v>3117</v>
      </c>
      <c r="F218" s="29"/>
      <c r="G218" s="115" t="s">
        <v>3088</v>
      </c>
      <c r="H218" s="15"/>
      <c r="I218" s="151">
        <v>32066666</v>
      </c>
      <c r="J218" s="26">
        <v>31633333</v>
      </c>
      <c r="K218" s="26">
        <f t="shared" si="3"/>
        <v>433333</v>
      </c>
    </row>
    <row r="219" spans="1:11" ht="15">
      <c r="A219" s="166">
        <v>44413</v>
      </c>
      <c r="B219" s="28" t="s">
        <v>2343</v>
      </c>
      <c r="C219" s="168" t="s">
        <v>3024</v>
      </c>
      <c r="D219" s="28" t="s">
        <v>3025</v>
      </c>
      <c r="E219" s="115" t="s">
        <v>3118</v>
      </c>
      <c r="F219" s="29"/>
      <c r="G219" s="115" t="s">
        <v>633</v>
      </c>
      <c r="H219" s="15"/>
      <c r="I219" s="151">
        <v>38480000</v>
      </c>
      <c r="J219" s="26">
        <v>37960000</v>
      </c>
      <c r="K219" s="26">
        <f t="shared" si="3"/>
        <v>520000</v>
      </c>
    </row>
    <row r="220" spans="1:11" ht="15">
      <c r="A220" s="166">
        <v>44413</v>
      </c>
      <c r="B220" s="28" t="s">
        <v>2952</v>
      </c>
      <c r="C220" s="168" t="s">
        <v>2338</v>
      </c>
      <c r="D220" s="28" t="s">
        <v>3026</v>
      </c>
      <c r="E220" s="115" t="s">
        <v>2972</v>
      </c>
      <c r="F220" s="29"/>
      <c r="G220" s="115" t="s">
        <v>1165</v>
      </c>
      <c r="H220" s="15"/>
      <c r="I220" s="151">
        <v>1500000</v>
      </c>
      <c r="J220" s="26">
        <v>1500000</v>
      </c>
      <c r="K220" s="26">
        <f t="shared" si="3"/>
        <v>0</v>
      </c>
    </row>
    <row r="221" spans="1:11" ht="15">
      <c r="A221" s="166">
        <v>44413</v>
      </c>
      <c r="B221" s="28" t="s">
        <v>2952</v>
      </c>
      <c r="C221" s="168" t="s">
        <v>1497</v>
      </c>
      <c r="D221" s="28" t="s">
        <v>3027</v>
      </c>
      <c r="E221" s="115" t="s">
        <v>3119</v>
      </c>
      <c r="F221" s="29"/>
      <c r="G221" s="115" t="s">
        <v>1165</v>
      </c>
      <c r="H221" s="15"/>
      <c r="I221" s="151">
        <v>2081374</v>
      </c>
      <c r="J221" s="26">
        <v>2081374</v>
      </c>
      <c r="K221" s="26">
        <f t="shared" si="3"/>
        <v>0</v>
      </c>
    </row>
    <row r="222" spans="1:11" ht="15">
      <c r="A222" s="166">
        <v>44413</v>
      </c>
      <c r="B222" s="28" t="s">
        <v>2952</v>
      </c>
      <c r="C222" s="168" t="s">
        <v>2338</v>
      </c>
      <c r="D222" s="28" t="s">
        <v>3028</v>
      </c>
      <c r="E222" s="115" t="s">
        <v>2972</v>
      </c>
      <c r="F222" s="29"/>
      <c r="G222" s="115" t="s">
        <v>1165</v>
      </c>
      <c r="H222" s="15"/>
      <c r="I222" s="151">
        <v>2748626</v>
      </c>
      <c r="J222" s="26">
        <v>2748626</v>
      </c>
      <c r="K222" s="26">
        <f t="shared" si="3"/>
        <v>0</v>
      </c>
    </row>
    <row r="223" spans="1:11" ht="15">
      <c r="A223" s="166">
        <v>44413</v>
      </c>
      <c r="B223" s="28" t="s">
        <v>3103</v>
      </c>
      <c r="C223" s="168" t="s">
        <v>3029</v>
      </c>
      <c r="D223" s="28" t="s">
        <v>3030</v>
      </c>
      <c r="E223" s="115" t="s">
        <v>3120</v>
      </c>
      <c r="F223" s="29"/>
      <c r="G223" s="115" t="s">
        <v>1527</v>
      </c>
      <c r="H223" s="15"/>
      <c r="I223" s="151">
        <v>75041075</v>
      </c>
      <c r="J223" s="26">
        <v>75041075</v>
      </c>
      <c r="K223" s="26">
        <f t="shared" si="3"/>
        <v>0</v>
      </c>
    </row>
    <row r="224" spans="1:11" ht="15">
      <c r="A224" s="166">
        <v>44413</v>
      </c>
      <c r="B224" s="28" t="s">
        <v>2228</v>
      </c>
      <c r="C224" s="168" t="s">
        <v>3031</v>
      </c>
      <c r="D224" s="28" t="s">
        <v>3032</v>
      </c>
      <c r="E224" s="115" t="s">
        <v>2575</v>
      </c>
      <c r="F224" s="29"/>
      <c r="G224" s="115" t="s">
        <v>1335</v>
      </c>
      <c r="H224" s="15"/>
      <c r="I224" s="151">
        <v>33887573</v>
      </c>
      <c r="J224" s="26">
        <v>33887573</v>
      </c>
      <c r="K224" s="26">
        <f t="shared" si="3"/>
        <v>0</v>
      </c>
    </row>
    <row r="225" spans="1:11" ht="15">
      <c r="A225" s="166">
        <v>44417</v>
      </c>
      <c r="B225" s="28" t="s">
        <v>2299</v>
      </c>
      <c r="C225" s="168" t="s">
        <v>3033</v>
      </c>
      <c r="D225" s="28" t="s">
        <v>3034</v>
      </c>
      <c r="E225" s="115" t="s">
        <v>2575</v>
      </c>
      <c r="F225" s="29"/>
      <c r="G225" s="115" t="s">
        <v>1321</v>
      </c>
      <c r="H225" s="15"/>
      <c r="I225" s="151">
        <v>33887573</v>
      </c>
      <c r="J225" s="26">
        <v>32959147</v>
      </c>
      <c r="K225" s="26">
        <f t="shared" si="3"/>
        <v>928426</v>
      </c>
    </row>
    <row r="226" spans="1:11" ht="15">
      <c r="A226" s="166">
        <v>44417</v>
      </c>
      <c r="B226" s="28" t="s">
        <v>3104</v>
      </c>
      <c r="C226" s="168" t="s">
        <v>2659</v>
      </c>
      <c r="D226" s="28" t="s">
        <v>3035</v>
      </c>
      <c r="E226" s="115" t="s">
        <v>3121</v>
      </c>
      <c r="F226" s="29"/>
      <c r="G226" s="115" t="s">
        <v>354</v>
      </c>
      <c r="H226" s="15"/>
      <c r="I226" s="151">
        <v>28723200</v>
      </c>
      <c r="J226" s="26">
        <v>26658133</v>
      </c>
      <c r="K226" s="26">
        <f t="shared" si="3"/>
        <v>2065067</v>
      </c>
    </row>
    <row r="227" spans="1:11" ht="15">
      <c r="A227" s="166">
        <v>44417</v>
      </c>
      <c r="B227" s="28" t="s">
        <v>2224</v>
      </c>
      <c r="C227" s="168" t="s">
        <v>2666</v>
      </c>
      <c r="D227" s="28" t="s">
        <v>3036</v>
      </c>
      <c r="E227" s="115" t="s">
        <v>2799</v>
      </c>
      <c r="F227" s="29"/>
      <c r="G227" s="115" t="s">
        <v>3089</v>
      </c>
      <c r="H227" s="15"/>
      <c r="I227" s="151">
        <v>9966933</v>
      </c>
      <c r="J227" s="26">
        <v>3345067</v>
      </c>
      <c r="K227" s="26">
        <f t="shared" si="3"/>
        <v>6621866</v>
      </c>
    </row>
    <row r="228" spans="1:11" ht="15">
      <c r="A228" s="166">
        <v>44417</v>
      </c>
      <c r="B228" s="28" t="s">
        <v>2298</v>
      </c>
      <c r="C228" s="168" t="s">
        <v>2431</v>
      </c>
      <c r="D228" s="28" t="s">
        <v>3037</v>
      </c>
      <c r="E228" s="115" t="s">
        <v>3122</v>
      </c>
      <c r="F228" s="29"/>
      <c r="G228" s="115" t="s">
        <v>1068</v>
      </c>
      <c r="H228" s="15"/>
      <c r="I228" s="151">
        <v>20787433</v>
      </c>
      <c r="J228" s="26">
        <v>20642067</v>
      </c>
      <c r="K228" s="26">
        <f t="shared" si="3"/>
        <v>145366</v>
      </c>
    </row>
    <row r="229" spans="1:11" ht="15">
      <c r="A229" s="166">
        <v>44417</v>
      </c>
      <c r="B229" s="28" t="s">
        <v>2364</v>
      </c>
      <c r="C229" s="168" t="s">
        <v>3038</v>
      </c>
      <c r="D229" s="28" t="s">
        <v>3039</v>
      </c>
      <c r="E229" s="115" t="s">
        <v>3123</v>
      </c>
      <c r="F229" s="29"/>
      <c r="G229" s="115" t="s">
        <v>230</v>
      </c>
      <c r="H229" s="15"/>
      <c r="I229" s="151">
        <v>30720000</v>
      </c>
      <c r="J229" s="26">
        <v>29081600</v>
      </c>
      <c r="K229" s="26">
        <f t="shared" si="3"/>
        <v>1638400</v>
      </c>
    </row>
    <row r="230" spans="1:11" ht="15">
      <c r="A230" s="166">
        <v>44418</v>
      </c>
      <c r="B230" s="28" t="s">
        <v>2232</v>
      </c>
      <c r="C230" s="168" t="s">
        <v>3040</v>
      </c>
      <c r="D230" s="28" t="s">
        <v>3041</v>
      </c>
      <c r="E230" s="115" t="s">
        <v>3124</v>
      </c>
      <c r="F230" s="29"/>
      <c r="G230" s="115" t="s">
        <v>3090</v>
      </c>
      <c r="H230" s="15"/>
      <c r="I230" s="151">
        <v>43732500</v>
      </c>
      <c r="J230" s="26">
        <v>41650000</v>
      </c>
      <c r="K230" s="26">
        <f t="shared" si="3"/>
        <v>2082500</v>
      </c>
    </row>
    <row r="231" spans="1:11" ht="15">
      <c r="A231" s="166">
        <v>44419</v>
      </c>
      <c r="B231" s="28" t="s">
        <v>2751</v>
      </c>
      <c r="C231" s="168" t="s">
        <v>3042</v>
      </c>
      <c r="D231" s="28" t="s">
        <v>3043</v>
      </c>
      <c r="E231" s="115" t="s">
        <v>3125</v>
      </c>
      <c r="F231" s="29"/>
      <c r="G231" s="115" t="s">
        <v>1340</v>
      </c>
      <c r="H231" s="15"/>
      <c r="I231" s="151">
        <v>20066667</v>
      </c>
      <c r="J231" s="26">
        <v>20066667</v>
      </c>
      <c r="K231" s="26">
        <f t="shared" si="3"/>
        <v>0</v>
      </c>
    </row>
    <row r="232" spans="1:11" ht="15">
      <c r="A232" s="166">
        <v>44420</v>
      </c>
      <c r="B232" s="28" t="s">
        <v>3105</v>
      </c>
      <c r="C232" s="168" t="s">
        <v>3044</v>
      </c>
      <c r="D232" s="28" t="s">
        <v>3045</v>
      </c>
      <c r="E232" s="115" t="s">
        <v>2570</v>
      </c>
      <c r="F232" s="29"/>
      <c r="G232" s="115" t="s">
        <v>3091</v>
      </c>
      <c r="H232" s="15"/>
      <c r="I232" s="151">
        <v>29200000</v>
      </c>
      <c r="J232" s="26">
        <v>27600000</v>
      </c>
      <c r="K232" s="26">
        <f t="shared" si="3"/>
        <v>1600000</v>
      </c>
    </row>
    <row r="233" spans="1:11" ht="15">
      <c r="A233" s="166">
        <v>44420</v>
      </c>
      <c r="B233" s="28" t="s">
        <v>2398</v>
      </c>
      <c r="C233" s="168" t="s">
        <v>3046</v>
      </c>
      <c r="D233" s="28" t="s">
        <v>3047</v>
      </c>
      <c r="E233" s="115" t="s">
        <v>2056</v>
      </c>
      <c r="F233" s="29"/>
      <c r="G233" s="115" t="s">
        <v>2044</v>
      </c>
      <c r="H233" s="15"/>
      <c r="I233" s="151">
        <v>13500000</v>
      </c>
      <c r="J233" s="26">
        <v>13500000</v>
      </c>
      <c r="K233" s="26">
        <f t="shared" si="3"/>
        <v>0</v>
      </c>
    </row>
    <row r="234" spans="1:11" ht="15">
      <c r="A234" s="166">
        <v>44420</v>
      </c>
      <c r="B234" s="28" t="s">
        <v>2486</v>
      </c>
      <c r="C234" s="168" t="s">
        <v>3048</v>
      </c>
      <c r="D234" s="28" t="s">
        <v>3049</v>
      </c>
      <c r="E234" s="115" t="s">
        <v>2056</v>
      </c>
      <c r="F234" s="29"/>
      <c r="G234" s="115" t="s">
        <v>2029</v>
      </c>
      <c r="H234" s="15"/>
      <c r="I234" s="151">
        <v>13500000</v>
      </c>
      <c r="J234" s="26">
        <v>13500000</v>
      </c>
      <c r="K234" s="26">
        <f t="shared" si="3"/>
        <v>0</v>
      </c>
    </row>
    <row r="235" spans="1:11" ht="15">
      <c r="A235" s="166">
        <v>44421</v>
      </c>
      <c r="B235" s="28" t="s">
        <v>2589</v>
      </c>
      <c r="C235" s="168" t="s">
        <v>3050</v>
      </c>
      <c r="D235" s="28" t="s">
        <v>3051</v>
      </c>
      <c r="E235" s="115" t="s">
        <v>2056</v>
      </c>
      <c r="F235" s="29"/>
      <c r="G235" s="115" t="s">
        <v>2036</v>
      </c>
      <c r="H235" s="15"/>
      <c r="I235" s="151">
        <v>13500000</v>
      </c>
      <c r="J235" s="26">
        <v>11100000</v>
      </c>
      <c r="K235" s="26">
        <f t="shared" si="3"/>
        <v>2400000</v>
      </c>
    </row>
    <row r="236" spans="1:11" ht="15">
      <c r="A236" s="166">
        <v>44425</v>
      </c>
      <c r="B236" s="28" t="s">
        <v>2494</v>
      </c>
      <c r="C236" s="168" t="s">
        <v>3052</v>
      </c>
      <c r="D236" s="28" t="s">
        <v>3053</v>
      </c>
      <c r="E236" s="115" t="s">
        <v>3126</v>
      </c>
      <c r="F236" s="29"/>
      <c r="G236" s="115" t="s">
        <v>2032</v>
      </c>
      <c r="H236" s="15"/>
      <c r="I236" s="151">
        <v>13500000</v>
      </c>
      <c r="J236" s="26">
        <v>13500000</v>
      </c>
      <c r="K236" s="26">
        <f t="shared" si="3"/>
        <v>0</v>
      </c>
    </row>
    <row r="237" spans="1:11" ht="15">
      <c r="A237" s="166">
        <v>44425</v>
      </c>
      <c r="B237" s="28" t="s">
        <v>2753</v>
      </c>
      <c r="C237" s="168" t="s">
        <v>3054</v>
      </c>
      <c r="D237" s="28" t="s">
        <v>3055</v>
      </c>
      <c r="E237" s="115" t="s">
        <v>3127</v>
      </c>
      <c r="F237" s="29"/>
      <c r="G237" s="115" t="s">
        <v>3092</v>
      </c>
      <c r="H237" s="15"/>
      <c r="I237" s="151">
        <v>39666667</v>
      </c>
      <c r="J237" s="26">
        <v>37966667</v>
      </c>
      <c r="K237" s="26">
        <f t="shared" si="3"/>
        <v>1700000</v>
      </c>
    </row>
    <row r="238" spans="1:11" ht="15">
      <c r="A238" s="166">
        <v>44425</v>
      </c>
      <c r="B238" s="28" t="s">
        <v>2406</v>
      </c>
      <c r="C238" s="168" t="s">
        <v>3056</v>
      </c>
      <c r="D238" s="28" t="s">
        <v>3057</v>
      </c>
      <c r="E238" s="115" t="s">
        <v>3128</v>
      </c>
      <c r="F238" s="29"/>
      <c r="G238" s="115" t="s">
        <v>2039</v>
      </c>
      <c r="H238" s="15"/>
      <c r="I238" s="151">
        <v>13500000</v>
      </c>
      <c r="J238" s="26">
        <v>13500000</v>
      </c>
      <c r="K238" s="26">
        <f t="shared" si="3"/>
        <v>0</v>
      </c>
    </row>
    <row r="239" spans="1:11" ht="15">
      <c r="A239" s="166">
        <v>44425</v>
      </c>
      <c r="B239" s="28" t="s">
        <v>2596</v>
      </c>
      <c r="C239" s="168" t="s">
        <v>3058</v>
      </c>
      <c r="D239" s="28" t="s">
        <v>3059</v>
      </c>
      <c r="E239" s="115" t="s">
        <v>3126</v>
      </c>
      <c r="F239" s="29"/>
      <c r="G239" s="115" t="s">
        <v>2035</v>
      </c>
      <c r="H239" s="15"/>
      <c r="I239" s="151">
        <v>13500000</v>
      </c>
      <c r="J239" s="26">
        <v>13500000</v>
      </c>
      <c r="K239" s="26">
        <f t="shared" si="3"/>
        <v>0</v>
      </c>
    </row>
    <row r="240" spans="1:11" ht="15">
      <c r="A240" s="166">
        <v>44425</v>
      </c>
      <c r="B240" s="28" t="s">
        <v>2496</v>
      </c>
      <c r="C240" s="168" t="s">
        <v>3060</v>
      </c>
      <c r="D240" s="28" t="s">
        <v>3061</v>
      </c>
      <c r="E240" s="115" t="s">
        <v>3128</v>
      </c>
      <c r="F240" s="29"/>
      <c r="G240" s="115" t="s">
        <v>2045</v>
      </c>
      <c r="H240" s="15"/>
      <c r="I240" s="151">
        <v>13500000</v>
      </c>
      <c r="J240" s="26">
        <v>13500000</v>
      </c>
      <c r="K240" s="26">
        <f t="shared" si="3"/>
        <v>0</v>
      </c>
    </row>
    <row r="241" spans="1:11" ht="15">
      <c r="A241" s="166">
        <v>44426</v>
      </c>
      <c r="B241" s="28" t="s">
        <v>2591</v>
      </c>
      <c r="C241" s="168" t="s">
        <v>3062</v>
      </c>
      <c r="D241" s="28" t="s">
        <v>3063</v>
      </c>
      <c r="E241" s="115" t="s">
        <v>3129</v>
      </c>
      <c r="F241" s="29"/>
      <c r="G241" s="115" t="s">
        <v>3093</v>
      </c>
      <c r="H241" s="15"/>
      <c r="I241" s="151">
        <v>9147733</v>
      </c>
      <c r="J241" s="26">
        <v>9079467</v>
      </c>
      <c r="K241" s="26">
        <f t="shared" si="3"/>
        <v>68266</v>
      </c>
    </row>
    <row r="242" spans="1:11" ht="15">
      <c r="A242" s="166">
        <v>44426</v>
      </c>
      <c r="B242" s="28" t="s">
        <v>2595</v>
      </c>
      <c r="C242" s="168" t="s">
        <v>3064</v>
      </c>
      <c r="D242" s="28" t="s">
        <v>3065</v>
      </c>
      <c r="E242" s="115" t="s">
        <v>3129</v>
      </c>
      <c r="F242" s="29"/>
      <c r="G242" s="115" t="s">
        <v>3094</v>
      </c>
      <c r="H242" s="15"/>
      <c r="I242" s="151">
        <v>9147733</v>
      </c>
      <c r="J242" s="26">
        <v>9079467</v>
      </c>
      <c r="K242" s="26">
        <f t="shared" si="3"/>
        <v>68266</v>
      </c>
    </row>
    <row r="243" spans="1:11" ht="15">
      <c r="A243" s="166">
        <v>44426</v>
      </c>
      <c r="B243" s="28" t="s">
        <v>2495</v>
      </c>
      <c r="C243" s="168" t="s">
        <v>3066</v>
      </c>
      <c r="D243" s="28" t="s">
        <v>3067</v>
      </c>
      <c r="E243" s="115" t="s">
        <v>3130</v>
      </c>
      <c r="F243" s="29"/>
      <c r="G243" s="115" t="s">
        <v>3095</v>
      </c>
      <c r="H243" s="15"/>
      <c r="I243" s="151">
        <v>25666667</v>
      </c>
      <c r="J243" s="26">
        <v>23283333</v>
      </c>
      <c r="K243" s="26">
        <f t="shared" si="3"/>
        <v>2383334</v>
      </c>
    </row>
    <row r="244" spans="1:11" ht="15">
      <c r="A244" s="166">
        <v>44426</v>
      </c>
      <c r="B244" s="28" t="s">
        <v>3106</v>
      </c>
      <c r="C244" s="168" t="s">
        <v>3016</v>
      </c>
      <c r="D244" s="28" t="s">
        <v>3068</v>
      </c>
      <c r="E244" s="115" t="s">
        <v>3131</v>
      </c>
      <c r="F244" s="29"/>
      <c r="G244" s="115" t="s">
        <v>1527</v>
      </c>
      <c r="H244" s="15"/>
      <c r="I244" s="151">
        <v>231676877</v>
      </c>
      <c r="J244" s="26">
        <v>231676877</v>
      </c>
      <c r="K244" s="26">
        <f t="shared" si="3"/>
        <v>0</v>
      </c>
    </row>
    <row r="245" spans="1:11" ht="15">
      <c r="A245" s="166">
        <v>44427</v>
      </c>
      <c r="B245" s="28" t="s">
        <v>2503</v>
      </c>
      <c r="C245" s="168" t="s">
        <v>3069</v>
      </c>
      <c r="D245" s="28" t="s">
        <v>3070</v>
      </c>
      <c r="E245" s="115" t="s">
        <v>3129</v>
      </c>
      <c r="F245" s="29"/>
      <c r="G245" s="115" t="s">
        <v>3096</v>
      </c>
      <c r="H245" s="15"/>
      <c r="I245" s="151">
        <v>9147733</v>
      </c>
      <c r="J245" s="26">
        <v>9011200</v>
      </c>
      <c r="K245" s="26">
        <f t="shared" si="3"/>
        <v>136533</v>
      </c>
    </row>
    <row r="246" spans="1:11" ht="15">
      <c r="A246" s="166">
        <v>44428</v>
      </c>
      <c r="B246" s="28" t="s">
        <v>2598</v>
      </c>
      <c r="C246" s="168" t="s">
        <v>3071</v>
      </c>
      <c r="D246" s="28" t="s">
        <v>3072</v>
      </c>
      <c r="E246" s="115" t="s">
        <v>3132</v>
      </c>
      <c r="F246" s="29"/>
      <c r="G246" s="115" t="s">
        <v>3097</v>
      </c>
      <c r="H246" s="15"/>
      <c r="I246" s="151">
        <v>11166667</v>
      </c>
      <c r="J246" s="26">
        <v>7000000</v>
      </c>
      <c r="K246" s="26">
        <f t="shared" si="3"/>
        <v>4166667</v>
      </c>
    </row>
    <row r="247" spans="1:11" ht="15">
      <c r="A247" s="166">
        <v>44431</v>
      </c>
      <c r="B247" s="28" t="s">
        <v>2761</v>
      </c>
      <c r="C247" s="168" t="s">
        <v>2861</v>
      </c>
      <c r="D247" s="28" t="s">
        <v>3073</v>
      </c>
      <c r="E247" s="115" t="s">
        <v>3133</v>
      </c>
      <c r="F247" s="29"/>
      <c r="G247" s="115" t="s">
        <v>3098</v>
      </c>
      <c r="H247" s="15"/>
      <c r="I247" s="151">
        <v>8942933</v>
      </c>
      <c r="J247" s="26">
        <v>8738133</v>
      </c>
      <c r="K247" s="26">
        <f t="shared" si="3"/>
        <v>204800</v>
      </c>
    </row>
    <row r="248" spans="1:11" ht="15">
      <c r="A248" s="166">
        <v>44431</v>
      </c>
      <c r="B248" s="28" t="s">
        <v>2759</v>
      </c>
      <c r="C248" s="168" t="s">
        <v>3074</v>
      </c>
      <c r="D248" s="28" t="s">
        <v>3075</v>
      </c>
      <c r="E248" s="115" t="s">
        <v>3134</v>
      </c>
      <c r="F248" s="29"/>
      <c r="G248" s="115" t="s">
        <v>3099</v>
      </c>
      <c r="H248" s="15"/>
      <c r="I248" s="151">
        <v>31266667</v>
      </c>
      <c r="J248" s="26">
        <v>29633333</v>
      </c>
      <c r="K248" s="26">
        <f t="shared" si="3"/>
        <v>1633334</v>
      </c>
    </row>
    <row r="249" spans="1:11" ht="15">
      <c r="A249" s="166">
        <v>44431</v>
      </c>
      <c r="B249" s="28" t="s">
        <v>2600</v>
      </c>
      <c r="C249" s="168" t="s">
        <v>3076</v>
      </c>
      <c r="D249" s="28" t="s">
        <v>3077</v>
      </c>
      <c r="E249" s="115" t="s">
        <v>2317</v>
      </c>
      <c r="F249" s="29"/>
      <c r="G249" s="115" t="s">
        <v>3100</v>
      </c>
      <c r="H249" s="15"/>
      <c r="I249" s="151">
        <v>22275267</v>
      </c>
      <c r="J249" s="26">
        <v>20945400</v>
      </c>
      <c r="K249" s="26">
        <f t="shared" si="3"/>
        <v>1329867</v>
      </c>
    </row>
    <row r="250" spans="1:11" ht="15">
      <c r="A250" s="166">
        <v>44433</v>
      </c>
      <c r="B250" s="28" t="s">
        <v>3107</v>
      </c>
      <c r="C250" s="168" t="s">
        <v>2542</v>
      </c>
      <c r="D250" s="28" t="s">
        <v>3078</v>
      </c>
      <c r="E250" s="115" t="s">
        <v>3135</v>
      </c>
      <c r="F250" s="29"/>
      <c r="G250" s="115" t="s">
        <v>3101</v>
      </c>
      <c r="H250" s="15"/>
      <c r="I250" s="151">
        <v>15049940</v>
      </c>
      <c r="J250" s="26">
        <v>15049940</v>
      </c>
      <c r="K250" s="26">
        <f t="shared" si="3"/>
        <v>0</v>
      </c>
    </row>
    <row r="251" spans="1:11" ht="15">
      <c r="A251" s="166">
        <v>44435</v>
      </c>
      <c r="B251" s="28" t="s">
        <v>2485</v>
      </c>
      <c r="C251" s="168" t="s">
        <v>2413</v>
      </c>
      <c r="D251" s="28" t="s">
        <v>3079</v>
      </c>
      <c r="E251" s="115" t="s">
        <v>3136</v>
      </c>
      <c r="F251" s="29"/>
      <c r="G251" s="115" t="s">
        <v>3102</v>
      </c>
      <c r="H251" s="15"/>
      <c r="I251" s="151">
        <v>227500000</v>
      </c>
      <c r="J251" s="26">
        <v>204750000</v>
      </c>
      <c r="K251" s="26">
        <f t="shared" si="3"/>
        <v>22750000</v>
      </c>
    </row>
    <row r="252" spans="1:11" ht="15">
      <c r="A252" s="166">
        <v>44438</v>
      </c>
      <c r="B252" s="28" t="s">
        <v>1782</v>
      </c>
      <c r="C252" s="168" t="s">
        <v>3080</v>
      </c>
      <c r="D252" s="28" t="s">
        <v>3081</v>
      </c>
      <c r="E252" s="115" t="s">
        <v>3137</v>
      </c>
      <c r="F252" s="29"/>
      <c r="G252" s="115" t="s">
        <v>2049</v>
      </c>
      <c r="H252" s="15"/>
      <c r="I252" s="151">
        <f>8162640-8162640</f>
        <v>0</v>
      </c>
      <c r="J252" s="26">
        <v>0</v>
      </c>
      <c r="K252" s="26">
        <f t="shared" si="3"/>
        <v>0</v>
      </c>
    </row>
    <row r="253" spans="1:11" ht="15">
      <c r="A253" s="166">
        <v>44445</v>
      </c>
      <c r="B253" s="28">
        <v>1217</v>
      </c>
      <c r="C253" s="168">
        <v>1486</v>
      </c>
      <c r="D253" s="28">
        <v>1640</v>
      </c>
      <c r="E253" s="115" t="s">
        <v>2197</v>
      </c>
      <c r="F253" s="29"/>
      <c r="G253" s="115" t="s">
        <v>3334</v>
      </c>
      <c r="H253" s="15"/>
      <c r="I253" s="151">
        <v>10581333</v>
      </c>
      <c r="J253" s="26">
        <v>9813333</v>
      </c>
      <c r="K253" s="26">
        <f t="shared" si="3"/>
        <v>768000</v>
      </c>
    </row>
    <row r="254" spans="1:11" ht="15">
      <c r="A254" s="166">
        <v>44445</v>
      </c>
      <c r="B254" s="28">
        <v>1219</v>
      </c>
      <c r="C254" s="168">
        <v>1488</v>
      </c>
      <c r="D254" s="28">
        <v>1641</v>
      </c>
      <c r="E254" s="115" t="s">
        <v>2197</v>
      </c>
      <c r="F254" s="29"/>
      <c r="G254" s="115" t="s">
        <v>3335</v>
      </c>
      <c r="H254" s="15"/>
      <c r="I254" s="151">
        <v>9984000</v>
      </c>
      <c r="J254" s="26">
        <v>9813333</v>
      </c>
      <c r="K254" s="26">
        <f t="shared" si="3"/>
        <v>170667</v>
      </c>
    </row>
    <row r="255" spans="1:11" ht="15">
      <c r="A255" s="166">
        <v>44445</v>
      </c>
      <c r="B255" s="28">
        <v>5</v>
      </c>
      <c r="C255" s="168">
        <v>1495</v>
      </c>
      <c r="D255" s="28">
        <v>1642</v>
      </c>
      <c r="E255" s="115" t="s">
        <v>3342</v>
      </c>
      <c r="F255" s="29"/>
      <c r="G255" s="115" t="s">
        <v>94</v>
      </c>
      <c r="H255" s="15"/>
      <c r="I255" s="151">
        <v>25840000</v>
      </c>
      <c r="J255" s="26">
        <v>25840000</v>
      </c>
      <c r="K255" s="26">
        <f t="shared" si="3"/>
        <v>0</v>
      </c>
    </row>
    <row r="256" spans="1:11" ht="15">
      <c r="A256" s="166">
        <v>44446</v>
      </c>
      <c r="B256" s="28">
        <v>53182849</v>
      </c>
      <c r="C256" s="168">
        <v>1011</v>
      </c>
      <c r="D256" s="28">
        <v>1649</v>
      </c>
      <c r="E256" s="115" t="s">
        <v>3316</v>
      </c>
      <c r="F256" s="29"/>
      <c r="G256" s="115" t="s">
        <v>1165</v>
      </c>
      <c r="H256" s="15"/>
      <c r="I256" s="151">
        <v>5345300</v>
      </c>
      <c r="J256" s="26">
        <v>5345300</v>
      </c>
      <c r="K256" s="26">
        <f t="shared" si="3"/>
        <v>0</v>
      </c>
    </row>
    <row r="257" spans="1:11" ht="15">
      <c r="A257" s="166">
        <v>44446</v>
      </c>
      <c r="B257" s="28">
        <v>1220</v>
      </c>
      <c r="C257" s="168">
        <v>1471</v>
      </c>
      <c r="D257" s="28">
        <v>1650</v>
      </c>
      <c r="E257" s="115" t="s">
        <v>3343</v>
      </c>
      <c r="F257" s="29"/>
      <c r="G257" s="115" t="s">
        <v>3336</v>
      </c>
      <c r="H257" s="15"/>
      <c r="I257" s="151">
        <v>20000000</v>
      </c>
      <c r="J257" s="26">
        <v>11166667</v>
      </c>
      <c r="K257" s="26">
        <f t="shared" si="3"/>
        <v>8833333</v>
      </c>
    </row>
    <row r="258" spans="1:11" ht="15">
      <c r="A258" s="166">
        <v>44446</v>
      </c>
      <c r="B258" s="28">
        <v>67</v>
      </c>
      <c r="C258" s="168">
        <v>1521</v>
      </c>
      <c r="D258" s="28">
        <v>1651</v>
      </c>
      <c r="E258" s="115" t="s">
        <v>3344</v>
      </c>
      <c r="F258" s="29"/>
      <c r="G258" s="115" t="s">
        <v>1527</v>
      </c>
      <c r="H258" s="15"/>
      <c r="I258" s="151">
        <v>27694200</v>
      </c>
      <c r="J258" s="26">
        <v>27694200</v>
      </c>
      <c r="K258" s="26">
        <f t="shared" si="3"/>
        <v>0</v>
      </c>
    </row>
    <row r="259" spans="1:11" ht="15">
      <c r="A259" s="166">
        <v>44446</v>
      </c>
      <c r="B259" s="28">
        <v>68</v>
      </c>
      <c r="C259" s="168">
        <v>1522</v>
      </c>
      <c r="D259" s="28">
        <v>1652</v>
      </c>
      <c r="E259" s="115" t="s">
        <v>3345</v>
      </c>
      <c r="F259" s="29"/>
      <c r="G259" s="115" t="s">
        <v>1527</v>
      </c>
      <c r="H259" s="15"/>
      <c r="I259" s="151">
        <v>77466233</v>
      </c>
      <c r="J259" s="26">
        <v>77466233</v>
      </c>
      <c r="K259" s="26">
        <f t="shared" si="3"/>
        <v>0</v>
      </c>
    </row>
    <row r="260" spans="1:11" ht="15">
      <c r="A260" s="166">
        <v>44447</v>
      </c>
      <c r="B260" s="28">
        <v>6</v>
      </c>
      <c r="C260" s="168">
        <v>1520</v>
      </c>
      <c r="D260" s="28">
        <v>1657</v>
      </c>
      <c r="E260" s="115" t="s">
        <v>3346</v>
      </c>
      <c r="F260" s="29"/>
      <c r="G260" s="115" t="s">
        <v>200</v>
      </c>
      <c r="H260" s="15"/>
      <c r="I260" s="151">
        <v>28160000</v>
      </c>
      <c r="J260" s="26">
        <v>27904000</v>
      </c>
      <c r="K260" s="26">
        <f t="shared" si="3"/>
        <v>256000</v>
      </c>
    </row>
    <row r="261" spans="1:11" ht="15">
      <c r="A261" s="166">
        <v>44447</v>
      </c>
      <c r="B261" s="28">
        <v>1212</v>
      </c>
      <c r="C261" s="168">
        <v>1477</v>
      </c>
      <c r="D261" s="28">
        <v>1659</v>
      </c>
      <c r="E261" s="115" t="s">
        <v>3347</v>
      </c>
      <c r="F261" s="29"/>
      <c r="G261" s="115" t="s">
        <v>193</v>
      </c>
      <c r="H261" s="15"/>
      <c r="I261" s="151">
        <v>26744000</v>
      </c>
      <c r="J261" s="26">
        <v>25183933</v>
      </c>
      <c r="K261" s="26">
        <f t="shared" si="3"/>
        <v>1560067</v>
      </c>
    </row>
    <row r="262" spans="1:11" ht="15">
      <c r="A262" s="166">
        <v>44447</v>
      </c>
      <c r="B262" s="28">
        <v>1216</v>
      </c>
      <c r="C262" s="168">
        <v>1497</v>
      </c>
      <c r="D262" s="28">
        <v>1661</v>
      </c>
      <c r="E262" s="115" t="s">
        <v>3348</v>
      </c>
      <c r="F262" s="29"/>
      <c r="G262" s="115" t="s">
        <v>3337</v>
      </c>
      <c r="H262" s="15"/>
      <c r="I262" s="151">
        <v>17443700</v>
      </c>
      <c r="J262" s="26">
        <v>16280787</v>
      </c>
      <c r="K262" s="26">
        <f t="shared" si="3"/>
        <v>1162913</v>
      </c>
    </row>
    <row r="263" spans="1:11" ht="15">
      <c r="A263" s="166">
        <v>44448</v>
      </c>
      <c r="B263" s="28">
        <v>1209</v>
      </c>
      <c r="C263" s="168">
        <v>1487</v>
      </c>
      <c r="D263" s="28">
        <v>1663</v>
      </c>
      <c r="E263" s="115" t="s">
        <v>3349</v>
      </c>
      <c r="F263" s="29"/>
      <c r="G263" s="115" t="s">
        <v>634</v>
      </c>
      <c r="H263" s="15"/>
      <c r="I263" s="151">
        <v>26000000</v>
      </c>
      <c r="J263" s="26">
        <v>24050000</v>
      </c>
      <c r="K263" s="26">
        <f t="shared" si="3"/>
        <v>1950000</v>
      </c>
    </row>
    <row r="264" spans="1:11" ht="15">
      <c r="A264" s="166">
        <v>44448</v>
      </c>
      <c r="B264" s="28">
        <v>1232</v>
      </c>
      <c r="C264" s="168">
        <v>1517</v>
      </c>
      <c r="D264" s="28">
        <v>1670</v>
      </c>
      <c r="E264" s="115" t="s">
        <v>3350</v>
      </c>
      <c r="F264" s="29"/>
      <c r="G264" s="115" t="s">
        <v>3338</v>
      </c>
      <c r="H264" s="15"/>
      <c r="I264" s="151">
        <v>19000000</v>
      </c>
      <c r="J264" s="26">
        <v>18500000</v>
      </c>
      <c r="K264" s="26">
        <f t="shared" si="3"/>
        <v>500000</v>
      </c>
    </row>
    <row r="265" spans="1:11" ht="15">
      <c r="A265" s="166">
        <v>44449</v>
      </c>
      <c r="B265" s="28">
        <v>1234</v>
      </c>
      <c r="C265" s="168">
        <v>1498</v>
      </c>
      <c r="D265" s="28">
        <v>1679</v>
      </c>
      <c r="E265" s="115" t="s">
        <v>2191</v>
      </c>
      <c r="F265" s="29"/>
      <c r="G265" s="115" t="s">
        <v>3339</v>
      </c>
      <c r="H265" s="15"/>
      <c r="I265" s="151">
        <v>7850667</v>
      </c>
      <c r="J265" s="26">
        <v>7304533</v>
      </c>
      <c r="K265" s="26">
        <f t="shared" si="3"/>
        <v>546134</v>
      </c>
    </row>
    <row r="266" spans="1:11" ht="15">
      <c r="A266" s="166">
        <v>44456</v>
      </c>
      <c r="B266" s="28">
        <v>72</v>
      </c>
      <c r="C266" s="168">
        <v>1584</v>
      </c>
      <c r="D266" s="28">
        <v>1702</v>
      </c>
      <c r="E266" s="115" t="s">
        <v>3351</v>
      </c>
      <c r="F266" s="29"/>
      <c r="G266" s="115" t="s">
        <v>1527</v>
      </c>
      <c r="H266" s="15"/>
      <c r="I266" s="151">
        <v>504327367</v>
      </c>
      <c r="J266" s="26">
        <v>502397596</v>
      </c>
      <c r="K266" s="26">
        <f t="shared" si="3"/>
        <v>1929771</v>
      </c>
    </row>
    <row r="267" spans="1:11" ht="15">
      <c r="A267" s="166">
        <v>44456</v>
      </c>
      <c r="B267" s="28">
        <v>73</v>
      </c>
      <c r="C267" s="168">
        <v>1585</v>
      </c>
      <c r="D267" s="28">
        <v>1703</v>
      </c>
      <c r="E267" s="115" t="s">
        <v>3352</v>
      </c>
      <c r="F267" s="29"/>
      <c r="G267" s="115" t="s">
        <v>1527</v>
      </c>
      <c r="H267" s="15"/>
      <c r="I267" s="151">
        <v>1227890</v>
      </c>
      <c r="J267" s="26">
        <v>1227890</v>
      </c>
      <c r="K267" s="26">
        <f t="shared" si="3"/>
        <v>0</v>
      </c>
    </row>
    <row r="268" spans="1:11" ht="15">
      <c r="A268" s="166">
        <v>44459</v>
      </c>
      <c r="B268" s="28">
        <v>1249</v>
      </c>
      <c r="C268" s="168">
        <v>1509</v>
      </c>
      <c r="D268" s="28">
        <v>1709</v>
      </c>
      <c r="E268" s="115" t="s">
        <v>3353</v>
      </c>
      <c r="F268" s="29"/>
      <c r="G268" s="115" t="s">
        <v>3340</v>
      </c>
      <c r="H268" s="15"/>
      <c r="I268" s="151">
        <v>24700000</v>
      </c>
      <c r="J268" s="26">
        <v>21666667</v>
      </c>
      <c r="K268" s="26">
        <f t="shared" si="3"/>
        <v>3033333</v>
      </c>
    </row>
    <row r="269" spans="1:11" ht="15">
      <c r="A269" s="166">
        <v>44460</v>
      </c>
      <c r="B269" s="28">
        <v>1251</v>
      </c>
      <c r="C269" s="168">
        <v>1508</v>
      </c>
      <c r="D269" s="28">
        <v>1715</v>
      </c>
      <c r="E269" s="115" t="s">
        <v>3354</v>
      </c>
      <c r="F269" s="29"/>
      <c r="G269" s="115" t="s">
        <v>3341</v>
      </c>
      <c r="H269" s="15"/>
      <c r="I269" s="151">
        <v>22000000</v>
      </c>
      <c r="J269" s="26">
        <v>20000000</v>
      </c>
      <c r="K269" s="26">
        <f t="shared" si="3"/>
        <v>2000000</v>
      </c>
    </row>
    <row r="270" spans="1:11" ht="15">
      <c r="A270" s="166">
        <v>44462</v>
      </c>
      <c r="B270" s="28">
        <v>637</v>
      </c>
      <c r="C270" s="168">
        <v>1596</v>
      </c>
      <c r="D270" s="28">
        <v>1748</v>
      </c>
      <c r="E270" s="115" t="s">
        <v>3355</v>
      </c>
      <c r="F270" s="29"/>
      <c r="G270" s="115" t="s">
        <v>1532</v>
      </c>
      <c r="H270" s="15"/>
      <c r="I270" s="151">
        <v>13083000</v>
      </c>
      <c r="J270" s="26">
        <v>9739567</v>
      </c>
      <c r="K270" s="26">
        <f t="shared" si="4" ref="K270:K342">+I270-J270</f>
        <v>3343433</v>
      </c>
    </row>
    <row r="271" spans="1:11" ht="15">
      <c r="A271" s="166">
        <v>44469</v>
      </c>
      <c r="B271" s="28">
        <v>660</v>
      </c>
      <c r="C271" s="168">
        <v>1626</v>
      </c>
      <c r="D271" s="28">
        <v>1788</v>
      </c>
      <c r="E271" s="115" t="s">
        <v>3356</v>
      </c>
      <c r="F271" s="29"/>
      <c r="G271" s="115" t="s">
        <v>1832</v>
      </c>
      <c r="H271" s="15"/>
      <c r="I271" s="151">
        <v>14166667</v>
      </c>
      <c r="J271" s="26">
        <v>14166667</v>
      </c>
      <c r="K271" s="26">
        <f t="shared" si="4"/>
        <v>0</v>
      </c>
    </row>
    <row r="272" spans="1:11" ht="15">
      <c r="A272" s="166">
        <v>44470</v>
      </c>
      <c r="B272" s="28" t="s">
        <v>1483</v>
      </c>
      <c r="C272" s="168" t="s">
        <v>3566</v>
      </c>
      <c r="D272" s="28" t="s">
        <v>3567</v>
      </c>
      <c r="E272" s="115" t="s">
        <v>3510</v>
      </c>
      <c r="F272" s="29"/>
      <c r="G272" s="115" t="s">
        <v>1837</v>
      </c>
      <c r="H272" s="15"/>
      <c r="I272" s="151">
        <v>8192000</v>
      </c>
      <c r="J272" s="26">
        <v>8192000</v>
      </c>
      <c r="K272" s="26">
        <f t="shared" si="4"/>
        <v>0</v>
      </c>
    </row>
    <row r="273" spans="1:11" ht="15">
      <c r="A273" s="166">
        <v>44475</v>
      </c>
      <c r="B273" s="28" t="s">
        <v>3503</v>
      </c>
      <c r="C273" s="168" t="s">
        <v>2338</v>
      </c>
      <c r="D273" s="28" t="s">
        <v>3568</v>
      </c>
      <c r="E273" s="115" t="s">
        <v>3448</v>
      </c>
      <c r="F273" s="29"/>
      <c r="G273" s="115" t="s">
        <v>1165</v>
      </c>
      <c r="H273" s="15"/>
      <c r="I273" s="151">
        <v>4158509</v>
      </c>
      <c r="J273" s="26">
        <v>4158509</v>
      </c>
      <c r="K273" s="26">
        <f t="shared" si="4"/>
        <v>0</v>
      </c>
    </row>
    <row r="274" spans="1:11" ht="15">
      <c r="A274" s="166">
        <v>44476</v>
      </c>
      <c r="B274" s="28" t="s">
        <v>3640</v>
      </c>
      <c r="C274" s="168" t="s">
        <v>3569</v>
      </c>
      <c r="D274" s="28" t="s">
        <v>3570</v>
      </c>
      <c r="E274" s="115" t="s">
        <v>3511</v>
      </c>
      <c r="F274" s="29"/>
      <c r="G274" s="115" t="s">
        <v>1527</v>
      </c>
      <c r="H274" s="15"/>
      <c r="I274" s="151">
        <v>15285066</v>
      </c>
      <c r="J274" s="26">
        <v>15285066</v>
      </c>
      <c r="K274" s="26">
        <f t="shared" si="4"/>
        <v>0</v>
      </c>
    </row>
    <row r="275" spans="1:11" ht="15">
      <c r="A275" s="166">
        <v>44476</v>
      </c>
      <c r="B275" s="28" t="s">
        <v>3641</v>
      </c>
      <c r="C275" s="168" t="s">
        <v>3571</v>
      </c>
      <c r="D275" s="28" t="s">
        <v>3572</v>
      </c>
      <c r="E275" s="115" t="s">
        <v>3512</v>
      </c>
      <c r="F275" s="29"/>
      <c r="G275" s="115" t="s">
        <v>1527</v>
      </c>
      <c r="H275" s="15"/>
      <c r="I275" s="151">
        <v>8188952</v>
      </c>
      <c r="J275" s="26">
        <v>8188952</v>
      </c>
      <c r="K275" s="26">
        <f t="shared" si="4"/>
        <v>0</v>
      </c>
    </row>
    <row r="276" spans="1:11" ht="15">
      <c r="A276" s="166">
        <v>44477</v>
      </c>
      <c r="B276" s="28" t="s">
        <v>3642</v>
      </c>
      <c r="C276" s="168" t="s">
        <v>3573</v>
      </c>
      <c r="D276" s="28" t="s">
        <v>3574</v>
      </c>
      <c r="E276" s="115" t="s">
        <v>3513</v>
      </c>
      <c r="F276" s="29"/>
      <c r="G276" s="115" t="s">
        <v>1527</v>
      </c>
      <c r="H276" s="15"/>
      <c r="I276" s="151">
        <v>156134186</v>
      </c>
      <c r="J276" s="26">
        <v>156134186</v>
      </c>
      <c r="K276" s="26">
        <f t="shared" si="4"/>
        <v>0</v>
      </c>
    </row>
    <row r="277" spans="1:11" ht="15">
      <c r="A277" s="166">
        <v>44477</v>
      </c>
      <c r="B277" s="28" t="s">
        <v>3643</v>
      </c>
      <c r="C277" s="168" t="s">
        <v>439</v>
      </c>
      <c r="D277" s="28" t="s">
        <v>3575</v>
      </c>
      <c r="E277" s="115" t="s">
        <v>3514</v>
      </c>
      <c r="F277" s="29"/>
      <c r="G277" s="115" t="s">
        <v>1527</v>
      </c>
      <c r="H277" s="15"/>
      <c r="I277" s="151">
        <v>12985800</v>
      </c>
      <c r="J277" s="26">
        <v>12985800</v>
      </c>
      <c r="K277" s="26">
        <f t="shared" si="4"/>
        <v>0</v>
      </c>
    </row>
    <row r="278" spans="1:11" ht="15">
      <c r="A278" s="166">
        <v>44481</v>
      </c>
      <c r="B278" s="28" t="s">
        <v>2427</v>
      </c>
      <c r="C278" s="168" t="s">
        <v>3576</v>
      </c>
      <c r="D278" s="28" t="s">
        <v>3577</v>
      </c>
      <c r="E278" s="115" t="s">
        <v>3515</v>
      </c>
      <c r="F278" s="29"/>
      <c r="G278" s="115" t="s">
        <v>3535</v>
      </c>
      <c r="H278" s="15"/>
      <c r="I278" s="151">
        <v>24083333</v>
      </c>
      <c r="J278" s="26">
        <v>22100000</v>
      </c>
      <c r="K278" s="26">
        <f t="shared" si="4"/>
        <v>1983333</v>
      </c>
    </row>
    <row r="279" spans="1:11" ht="15">
      <c r="A279" s="166">
        <v>44481</v>
      </c>
      <c r="B279" s="28" t="s">
        <v>2541</v>
      </c>
      <c r="C279" s="168" t="s">
        <v>3578</v>
      </c>
      <c r="D279" s="28" t="s">
        <v>3579</v>
      </c>
      <c r="E279" s="115" t="s">
        <v>3516</v>
      </c>
      <c r="F279" s="29"/>
      <c r="G279" s="115" t="s">
        <v>3536</v>
      </c>
      <c r="H279" s="15"/>
      <c r="I279" s="151">
        <v>12500000</v>
      </c>
      <c r="J279" s="26">
        <v>12500000</v>
      </c>
      <c r="K279" s="26">
        <f t="shared" si="4"/>
        <v>0</v>
      </c>
    </row>
    <row r="280" spans="1:11" ht="15">
      <c r="A280" s="166">
        <v>44481</v>
      </c>
      <c r="B280" s="28" t="s">
        <v>2639</v>
      </c>
      <c r="C280" s="168" t="s">
        <v>3580</v>
      </c>
      <c r="D280" s="28" t="s">
        <v>3581</v>
      </c>
      <c r="E280" s="115" t="s">
        <v>3516</v>
      </c>
      <c r="F280" s="29"/>
      <c r="G280" s="115" t="s">
        <v>3537</v>
      </c>
      <c r="H280" s="15"/>
      <c r="I280" s="151">
        <v>12500000</v>
      </c>
      <c r="J280" s="26">
        <v>12500000</v>
      </c>
      <c r="K280" s="26">
        <f t="shared" si="4"/>
        <v>0</v>
      </c>
    </row>
    <row r="281" spans="1:11" ht="15">
      <c r="A281" s="166">
        <v>44481</v>
      </c>
      <c r="B281" s="28" t="s">
        <v>2641</v>
      </c>
      <c r="C281" s="168" t="s">
        <v>3582</v>
      </c>
      <c r="D281" s="28" t="s">
        <v>3583</v>
      </c>
      <c r="E281" s="115" t="s">
        <v>3517</v>
      </c>
      <c r="F281" s="29"/>
      <c r="G281" s="115" t="s">
        <v>3538</v>
      </c>
      <c r="H281" s="15"/>
      <c r="I281" s="151">
        <v>11066667</v>
      </c>
      <c r="J281" s="26">
        <v>10533333</v>
      </c>
      <c r="K281" s="26">
        <f t="shared" si="4"/>
        <v>533334</v>
      </c>
    </row>
    <row r="282" spans="1:11" ht="15">
      <c r="A282" s="166">
        <v>44481</v>
      </c>
      <c r="B282" s="28" t="s">
        <v>2642</v>
      </c>
      <c r="C282" s="168" t="s">
        <v>3584</v>
      </c>
      <c r="D282" s="28" t="s">
        <v>3585</v>
      </c>
      <c r="E282" s="115" t="s">
        <v>3518</v>
      </c>
      <c r="F282" s="29"/>
      <c r="G282" s="115" t="s">
        <v>3539</v>
      </c>
      <c r="H282" s="15"/>
      <c r="I282" s="151">
        <v>27666667</v>
      </c>
      <c r="J282" s="26">
        <v>0</v>
      </c>
      <c r="K282" s="26">
        <f t="shared" si="4"/>
        <v>27666667</v>
      </c>
    </row>
    <row r="283" spans="1:11" ht="15">
      <c r="A283" s="166">
        <v>44481</v>
      </c>
      <c r="B283" s="28" t="s">
        <v>2538</v>
      </c>
      <c r="C283" s="168" t="s">
        <v>3586</v>
      </c>
      <c r="D283" s="28" t="s">
        <v>3587</v>
      </c>
      <c r="E283" s="115" t="s">
        <v>3519</v>
      </c>
      <c r="F283" s="29"/>
      <c r="G283" s="115" t="s">
        <v>3540</v>
      </c>
      <c r="H283" s="15"/>
      <c r="I283" s="151">
        <v>13800000</v>
      </c>
      <c r="J283" s="26">
        <v>11700000</v>
      </c>
      <c r="K283" s="26">
        <f t="shared" si="4"/>
        <v>2100000</v>
      </c>
    </row>
    <row r="284" spans="1:11" ht="15">
      <c r="A284" s="166">
        <v>44481</v>
      </c>
      <c r="B284" s="28" t="s">
        <v>2530</v>
      </c>
      <c r="C284" s="168" t="s">
        <v>3588</v>
      </c>
      <c r="D284" s="28" t="s">
        <v>3589</v>
      </c>
      <c r="E284" s="115" t="s">
        <v>3520</v>
      </c>
      <c r="F284" s="29"/>
      <c r="G284" s="115" t="s">
        <v>297</v>
      </c>
      <c r="H284" s="15"/>
      <c r="I284" s="151">
        <v>12500000</v>
      </c>
      <c r="J284" s="26">
        <v>12500000</v>
      </c>
      <c r="K284" s="26">
        <f t="shared" si="4"/>
        <v>0</v>
      </c>
    </row>
    <row r="285" spans="1:11" ht="15">
      <c r="A285" s="166">
        <v>44482</v>
      </c>
      <c r="B285" s="28" t="s">
        <v>2645</v>
      </c>
      <c r="C285" s="168" t="s">
        <v>3590</v>
      </c>
      <c r="D285" s="28" t="s">
        <v>3591</v>
      </c>
      <c r="E285" s="115" t="s">
        <v>3516</v>
      </c>
      <c r="F285" s="29"/>
      <c r="G285" s="115" t="s">
        <v>3541</v>
      </c>
      <c r="H285" s="15"/>
      <c r="I285" s="151">
        <v>12500000</v>
      </c>
      <c r="J285" s="26">
        <v>12166666</v>
      </c>
      <c r="K285" s="26">
        <f t="shared" si="4"/>
        <v>333334</v>
      </c>
    </row>
    <row r="286" spans="1:11" ht="15">
      <c r="A286" s="166">
        <v>44483</v>
      </c>
      <c r="B286" s="28" t="s">
        <v>2657</v>
      </c>
      <c r="C286" s="168" t="s">
        <v>3592</v>
      </c>
      <c r="D286" s="28" t="s">
        <v>3593</v>
      </c>
      <c r="E286" s="115" t="s">
        <v>3516</v>
      </c>
      <c r="F286" s="29"/>
      <c r="G286" s="115" t="s">
        <v>3542</v>
      </c>
      <c r="H286" s="15"/>
      <c r="I286" s="151">
        <v>12500000</v>
      </c>
      <c r="J286" s="26">
        <v>12500000</v>
      </c>
      <c r="K286" s="26">
        <f t="shared" si="4"/>
        <v>0</v>
      </c>
    </row>
    <row r="287" spans="1:11" ht="15">
      <c r="A287" s="166">
        <v>44483</v>
      </c>
      <c r="B287" s="28" t="s">
        <v>2650</v>
      </c>
      <c r="C287" s="168" t="s">
        <v>3594</v>
      </c>
      <c r="D287" s="28" t="s">
        <v>3595</v>
      </c>
      <c r="E287" s="115" t="s">
        <v>3521</v>
      </c>
      <c r="F287" s="29"/>
      <c r="G287" s="115" t="s">
        <v>3543</v>
      </c>
      <c r="H287" s="15"/>
      <c r="I287" s="151">
        <v>12500000</v>
      </c>
      <c r="J287" s="26">
        <v>12500000</v>
      </c>
      <c r="K287" s="26">
        <f t="shared" si="4"/>
        <v>0</v>
      </c>
    </row>
    <row r="288" spans="1:11" ht="15">
      <c r="A288" s="166">
        <v>44483</v>
      </c>
      <c r="B288" s="28" t="s">
        <v>3227</v>
      </c>
      <c r="C288" s="168" t="s">
        <v>3596</v>
      </c>
      <c r="D288" s="28" t="s">
        <v>3597</v>
      </c>
      <c r="E288" s="115" t="s">
        <v>3522</v>
      </c>
      <c r="F288" s="29"/>
      <c r="G288" s="115" t="s">
        <v>3544</v>
      </c>
      <c r="H288" s="15"/>
      <c r="I288" s="151">
        <v>13833333</v>
      </c>
      <c r="J288" s="26">
        <v>12666667</v>
      </c>
      <c r="K288" s="26">
        <f t="shared" si="4"/>
        <v>1166666</v>
      </c>
    </row>
    <row r="289" spans="1:11" ht="15">
      <c r="A289" s="166">
        <v>44484</v>
      </c>
      <c r="B289" s="28" t="s">
        <v>2651</v>
      </c>
      <c r="C289" s="168" t="s">
        <v>3598</v>
      </c>
      <c r="D289" s="28" t="s">
        <v>3599</v>
      </c>
      <c r="E289" s="115" t="s">
        <v>3516</v>
      </c>
      <c r="F289" s="29"/>
      <c r="G289" s="115" t="s">
        <v>3545</v>
      </c>
      <c r="H289" s="15"/>
      <c r="I289" s="151">
        <v>12500000</v>
      </c>
      <c r="J289" s="26">
        <v>12500000</v>
      </c>
      <c r="K289" s="26">
        <f t="shared" si="4"/>
        <v>0</v>
      </c>
    </row>
    <row r="290" spans="1:11" ht="15">
      <c r="A290" s="166">
        <v>44484</v>
      </c>
      <c r="B290" s="28" t="s">
        <v>3152</v>
      </c>
      <c r="C290" s="168" t="s">
        <v>3600</v>
      </c>
      <c r="D290" s="28" t="s">
        <v>3601</v>
      </c>
      <c r="E290" s="115" t="s">
        <v>3523</v>
      </c>
      <c r="F290" s="29"/>
      <c r="G290" s="115" t="s">
        <v>3546</v>
      </c>
      <c r="H290" s="15"/>
      <c r="I290" s="151">
        <v>12356167</v>
      </c>
      <c r="J290" s="26">
        <v>10466400</v>
      </c>
      <c r="K290" s="26">
        <f t="shared" si="4"/>
        <v>1889767</v>
      </c>
    </row>
    <row r="291" spans="1:11" ht="15">
      <c r="A291" s="166">
        <v>44484</v>
      </c>
      <c r="B291" s="28" t="s">
        <v>2648</v>
      </c>
      <c r="C291" s="168" t="s">
        <v>446</v>
      </c>
      <c r="D291" s="28" t="s">
        <v>3602</v>
      </c>
      <c r="E291" s="115" t="s">
        <v>3516</v>
      </c>
      <c r="F291" s="29"/>
      <c r="G291" s="115" t="s">
        <v>3547</v>
      </c>
      <c r="H291" s="15"/>
      <c r="I291" s="151">
        <v>12500000</v>
      </c>
      <c r="J291" s="26">
        <v>12000000</v>
      </c>
      <c r="K291" s="26">
        <f t="shared" si="4"/>
        <v>500000</v>
      </c>
    </row>
    <row r="292" spans="1:11" ht="15">
      <c r="A292" s="166">
        <v>44484</v>
      </c>
      <c r="B292" s="28" t="s">
        <v>3644</v>
      </c>
      <c r="C292" s="168" t="s">
        <v>3603</v>
      </c>
      <c r="D292" s="28" t="s">
        <v>3604</v>
      </c>
      <c r="E292" s="115" t="s">
        <v>3524</v>
      </c>
      <c r="F292" s="29"/>
      <c r="G292" s="115" t="s">
        <v>1527</v>
      </c>
      <c r="H292" s="15"/>
      <c r="I292" s="151">
        <v>711802083</v>
      </c>
      <c r="J292" s="26">
        <v>711802083</v>
      </c>
      <c r="K292" s="26">
        <f t="shared" si="4"/>
        <v>0</v>
      </c>
    </row>
    <row r="293" spans="1:11" ht="15">
      <c r="A293" s="166">
        <v>44484</v>
      </c>
      <c r="B293" s="28" t="s">
        <v>3645</v>
      </c>
      <c r="C293" s="168" t="s">
        <v>3605</v>
      </c>
      <c r="D293" s="28" t="s">
        <v>3606</v>
      </c>
      <c r="E293" s="115" t="s">
        <v>3525</v>
      </c>
      <c r="F293" s="29"/>
      <c r="G293" s="115" t="s">
        <v>1527</v>
      </c>
      <c r="H293" s="15"/>
      <c r="I293" s="151">
        <v>1544665</v>
      </c>
      <c r="J293" s="26">
        <v>1544665</v>
      </c>
      <c r="K293" s="26">
        <f t="shared" si="4"/>
        <v>0</v>
      </c>
    </row>
    <row r="294" spans="1:11" ht="15">
      <c r="A294" s="166">
        <v>44488</v>
      </c>
      <c r="B294" s="28" t="s">
        <v>2663</v>
      </c>
      <c r="C294" s="168" t="s">
        <v>454</v>
      </c>
      <c r="D294" s="28" t="s">
        <v>3607</v>
      </c>
      <c r="E294" s="115" t="s">
        <v>3516</v>
      </c>
      <c r="F294" s="29"/>
      <c r="G294" s="115" t="s">
        <v>3548</v>
      </c>
      <c r="H294" s="15"/>
      <c r="I294" s="151">
        <v>12500000</v>
      </c>
      <c r="J294" s="26">
        <v>11833333</v>
      </c>
      <c r="K294" s="26">
        <f t="shared" si="4"/>
        <v>666667</v>
      </c>
    </row>
    <row r="295" spans="1:11" ht="15">
      <c r="A295" s="166">
        <v>44488</v>
      </c>
      <c r="B295" s="28" t="s">
        <v>2785</v>
      </c>
      <c r="C295" s="168" t="s">
        <v>3608</v>
      </c>
      <c r="D295" s="28" t="s">
        <v>3609</v>
      </c>
      <c r="E295" s="115" t="s">
        <v>3526</v>
      </c>
      <c r="F295" s="29"/>
      <c r="G295" s="115" t="s">
        <v>3549</v>
      </c>
      <c r="H295" s="15"/>
      <c r="I295" s="151">
        <v>12500000</v>
      </c>
      <c r="J295" s="26">
        <v>11833333</v>
      </c>
      <c r="K295" s="26">
        <f t="shared" si="4"/>
        <v>666667</v>
      </c>
    </row>
    <row r="296" spans="1:11" ht="15">
      <c r="A296" s="166">
        <v>44488</v>
      </c>
      <c r="B296" s="28" t="s">
        <v>2646</v>
      </c>
      <c r="C296" s="168" t="s">
        <v>3610</v>
      </c>
      <c r="D296" s="28" t="s">
        <v>3611</v>
      </c>
      <c r="E296" s="115" t="s">
        <v>3520</v>
      </c>
      <c r="F296" s="29"/>
      <c r="G296" s="115" t="s">
        <v>3550</v>
      </c>
      <c r="H296" s="15"/>
      <c r="I296" s="151">
        <v>12500000</v>
      </c>
      <c r="J296" s="26">
        <v>11833333</v>
      </c>
      <c r="K296" s="26">
        <f t="shared" si="4"/>
        <v>666667</v>
      </c>
    </row>
    <row r="297" spans="1:11" ht="15">
      <c r="A297" s="166">
        <v>44488</v>
      </c>
      <c r="B297" s="28" t="s">
        <v>2737</v>
      </c>
      <c r="C297" s="168" t="s">
        <v>3612</v>
      </c>
      <c r="D297" s="28" t="s">
        <v>3613</v>
      </c>
      <c r="E297" s="115" t="s">
        <v>3516</v>
      </c>
      <c r="F297" s="29"/>
      <c r="G297" s="115" t="s">
        <v>3551</v>
      </c>
      <c r="H297" s="15"/>
      <c r="I297" s="151">
        <v>12500000</v>
      </c>
      <c r="J297" s="26">
        <v>11833333</v>
      </c>
      <c r="K297" s="26">
        <f t="shared" si="4"/>
        <v>666667</v>
      </c>
    </row>
    <row r="298" spans="1:11" ht="15">
      <c r="A298" s="166">
        <v>44490</v>
      </c>
      <c r="B298" s="28" t="s">
        <v>2656</v>
      </c>
      <c r="C298" s="168" t="s">
        <v>3614</v>
      </c>
      <c r="D298" s="28" t="s">
        <v>3615</v>
      </c>
      <c r="E298" s="115" t="s">
        <v>3527</v>
      </c>
      <c r="F298" s="29"/>
      <c r="G298" s="115" t="s">
        <v>3552</v>
      </c>
      <c r="H298" s="15"/>
      <c r="I298" s="151">
        <v>20400000</v>
      </c>
      <c r="J298" s="26">
        <v>19833333</v>
      </c>
      <c r="K298" s="26">
        <f t="shared" si="4"/>
        <v>566667</v>
      </c>
    </row>
    <row r="299" spans="1:11" ht="15">
      <c r="A299" s="166">
        <v>44490</v>
      </c>
      <c r="B299" s="28" t="s">
        <v>2658</v>
      </c>
      <c r="C299" s="168" t="s">
        <v>3616</v>
      </c>
      <c r="D299" s="28" t="s">
        <v>3617</v>
      </c>
      <c r="E299" s="115" t="s">
        <v>3516</v>
      </c>
      <c r="F299" s="29"/>
      <c r="G299" s="115" t="s">
        <v>3553</v>
      </c>
      <c r="H299" s="15"/>
      <c r="I299" s="151">
        <v>12500000</v>
      </c>
      <c r="J299" s="26">
        <v>11666667</v>
      </c>
      <c r="K299" s="26">
        <f t="shared" si="4"/>
        <v>833333</v>
      </c>
    </row>
    <row r="300" spans="1:11" ht="15">
      <c r="A300" s="166">
        <v>44490</v>
      </c>
      <c r="B300" s="28" t="s">
        <v>2660</v>
      </c>
      <c r="C300" s="168" t="s">
        <v>3618</v>
      </c>
      <c r="D300" s="28" t="s">
        <v>3619</v>
      </c>
      <c r="E300" s="115" t="s">
        <v>3528</v>
      </c>
      <c r="F300" s="29"/>
      <c r="G300" s="115" t="s">
        <v>3554</v>
      </c>
      <c r="H300" s="15"/>
      <c r="I300" s="151">
        <v>344506639</v>
      </c>
      <c r="J300" s="26">
        <v>0</v>
      </c>
      <c r="K300" s="26">
        <f t="shared" si="4"/>
        <v>344506639</v>
      </c>
    </row>
    <row r="301" spans="1:11" ht="15">
      <c r="A301" s="166">
        <v>44491</v>
      </c>
      <c r="B301" s="28" t="s">
        <v>2659</v>
      </c>
      <c r="C301" s="168" t="s">
        <v>451</v>
      </c>
      <c r="D301" s="28" t="s">
        <v>3620</v>
      </c>
      <c r="E301" s="115" t="s">
        <v>3516</v>
      </c>
      <c r="F301" s="29"/>
      <c r="G301" s="115" t="s">
        <v>3555</v>
      </c>
      <c r="H301" s="15"/>
      <c r="I301" s="151">
        <v>12500000</v>
      </c>
      <c r="J301" s="26">
        <v>11000000</v>
      </c>
      <c r="K301" s="26">
        <f t="shared" si="4"/>
        <v>1500000</v>
      </c>
    </row>
    <row r="302" spans="1:11" ht="15">
      <c r="A302" s="166">
        <v>44495</v>
      </c>
      <c r="B302" s="28" t="s">
        <v>2435</v>
      </c>
      <c r="C302" s="168" t="s">
        <v>459</v>
      </c>
      <c r="D302" s="28" t="s">
        <v>3621</v>
      </c>
      <c r="E302" s="115" t="s">
        <v>3516</v>
      </c>
      <c r="F302" s="29"/>
      <c r="G302" s="115" t="s">
        <v>3556</v>
      </c>
      <c r="H302" s="15"/>
      <c r="I302" s="151">
        <v>12500000</v>
      </c>
      <c r="J302" s="26">
        <v>10833333</v>
      </c>
      <c r="K302" s="26">
        <f t="shared" si="4"/>
        <v>1666667</v>
      </c>
    </row>
    <row r="303" spans="1:11" ht="15">
      <c r="A303" s="166">
        <v>44496</v>
      </c>
      <c r="B303" s="28" t="s">
        <v>3146</v>
      </c>
      <c r="C303" s="168" t="s">
        <v>3622</v>
      </c>
      <c r="D303" s="28" t="s">
        <v>3623</v>
      </c>
      <c r="E303" s="115" t="s">
        <v>3529</v>
      </c>
      <c r="F303" s="29"/>
      <c r="G303" s="115" t="s">
        <v>3557</v>
      </c>
      <c r="H303" s="15"/>
      <c r="I303" s="151">
        <v>9450000</v>
      </c>
      <c r="J303" s="26">
        <v>9450000</v>
      </c>
      <c r="K303" s="26">
        <f t="shared" si="4"/>
        <v>0</v>
      </c>
    </row>
    <row r="304" spans="1:11" ht="15">
      <c r="A304" s="166">
        <v>44496</v>
      </c>
      <c r="B304" s="28" t="s">
        <v>3646</v>
      </c>
      <c r="C304" s="168" t="s">
        <v>3624</v>
      </c>
      <c r="D304" s="28" t="s">
        <v>3625</v>
      </c>
      <c r="E304" s="115" t="s">
        <v>3516</v>
      </c>
      <c r="F304" s="29"/>
      <c r="G304" s="115" t="s">
        <v>3558</v>
      </c>
      <c r="H304" s="15"/>
      <c r="I304" s="151">
        <v>10833333</v>
      </c>
      <c r="J304" s="26">
        <v>9833333</v>
      </c>
      <c r="K304" s="26">
        <f t="shared" si="4"/>
        <v>1000000</v>
      </c>
    </row>
    <row r="305" spans="1:11" ht="15">
      <c r="A305" s="166">
        <v>44496</v>
      </c>
      <c r="B305" s="28" t="s">
        <v>2667</v>
      </c>
      <c r="C305" s="168" t="s">
        <v>3626</v>
      </c>
      <c r="D305" s="28" t="s">
        <v>3627</v>
      </c>
      <c r="E305" s="115" t="s">
        <v>3530</v>
      </c>
      <c r="F305" s="29"/>
      <c r="G305" s="115" t="s">
        <v>3559</v>
      </c>
      <c r="H305" s="15"/>
      <c r="I305" s="151">
        <v>5554500</v>
      </c>
      <c r="J305" s="26">
        <v>5466333</v>
      </c>
      <c r="K305" s="26">
        <f t="shared" si="4"/>
        <v>88167</v>
      </c>
    </row>
    <row r="306" spans="1:11" ht="15">
      <c r="A306" s="166">
        <v>44496</v>
      </c>
      <c r="B306" s="28" t="s">
        <v>2662</v>
      </c>
      <c r="C306" s="168" t="s">
        <v>3628</v>
      </c>
      <c r="D306" s="28" t="s">
        <v>3629</v>
      </c>
      <c r="E306" s="115" t="s">
        <v>3516</v>
      </c>
      <c r="F306" s="29"/>
      <c r="G306" s="115" t="s">
        <v>3560</v>
      </c>
      <c r="H306" s="15"/>
      <c r="I306" s="151">
        <v>10833333</v>
      </c>
      <c r="J306" s="26">
        <v>10500000</v>
      </c>
      <c r="K306" s="26">
        <f t="shared" si="4"/>
        <v>333333</v>
      </c>
    </row>
    <row r="307" spans="1:11" ht="15">
      <c r="A307" s="166">
        <v>44497</v>
      </c>
      <c r="B307" s="28" t="s">
        <v>3141</v>
      </c>
      <c r="C307" s="168" t="s">
        <v>3630</v>
      </c>
      <c r="D307" s="28" t="s">
        <v>3631</v>
      </c>
      <c r="E307" s="115" t="s">
        <v>3520</v>
      </c>
      <c r="F307" s="29"/>
      <c r="G307" s="115" t="s">
        <v>3561</v>
      </c>
      <c r="H307" s="15"/>
      <c r="I307" s="151">
        <v>11500000</v>
      </c>
      <c r="J307" s="26">
        <v>10500000</v>
      </c>
      <c r="K307" s="26">
        <f t="shared" si="4"/>
        <v>1000000</v>
      </c>
    </row>
    <row r="308" spans="1:11" ht="15">
      <c r="A308" s="166">
        <v>44497</v>
      </c>
      <c r="B308" s="28" t="s">
        <v>3017</v>
      </c>
      <c r="C308" s="168" t="s">
        <v>3632</v>
      </c>
      <c r="D308" s="28" t="s">
        <v>3633</v>
      </c>
      <c r="E308" s="115" t="s">
        <v>3531</v>
      </c>
      <c r="F308" s="29"/>
      <c r="G308" s="115" t="s">
        <v>3562</v>
      </c>
      <c r="H308" s="15"/>
      <c r="I308" s="151">
        <v>11500000</v>
      </c>
      <c r="J308" s="26">
        <v>9666665</v>
      </c>
      <c r="K308" s="26">
        <f t="shared" si="4"/>
        <v>1833335</v>
      </c>
    </row>
    <row r="309" spans="1:11" ht="15">
      <c r="A309" s="166">
        <v>44497</v>
      </c>
      <c r="B309" s="28" t="s">
        <v>3015</v>
      </c>
      <c r="C309" s="168" t="s">
        <v>3634</v>
      </c>
      <c r="D309" s="28" t="s">
        <v>3635</v>
      </c>
      <c r="E309" s="115" t="s">
        <v>3532</v>
      </c>
      <c r="F309" s="29"/>
      <c r="G309" s="115" t="s">
        <v>3563</v>
      </c>
      <c r="H309" s="15"/>
      <c r="I309" s="151">
        <v>10560000</v>
      </c>
      <c r="J309" s="26">
        <v>0</v>
      </c>
      <c r="K309" s="26">
        <f t="shared" si="4"/>
        <v>10560000</v>
      </c>
    </row>
    <row r="310" spans="1:11" ht="15">
      <c r="A310" s="166">
        <v>44497</v>
      </c>
      <c r="B310" s="28" t="s">
        <v>3038</v>
      </c>
      <c r="C310" s="168" t="s">
        <v>3636</v>
      </c>
      <c r="D310" s="28" t="s">
        <v>3637</v>
      </c>
      <c r="E310" s="115" t="s">
        <v>3533</v>
      </c>
      <c r="F310" s="29"/>
      <c r="G310" s="115" t="s">
        <v>3564</v>
      </c>
      <c r="H310" s="15"/>
      <c r="I310" s="151">
        <v>17500000</v>
      </c>
      <c r="J310" s="26">
        <v>0</v>
      </c>
      <c r="K310" s="26">
        <f t="shared" si="4"/>
        <v>17500000</v>
      </c>
    </row>
    <row r="311" spans="1:11" ht="15">
      <c r="A311" s="166">
        <v>44498</v>
      </c>
      <c r="B311" s="28" t="s">
        <v>2859</v>
      </c>
      <c r="C311" s="168" t="s">
        <v>3638</v>
      </c>
      <c r="D311" s="28" t="s">
        <v>3639</v>
      </c>
      <c r="E311" s="115" t="s">
        <v>3534</v>
      </c>
      <c r="F311" s="29"/>
      <c r="G311" s="115" t="s">
        <v>3565</v>
      </c>
      <c r="H311" s="15"/>
      <c r="I311" s="151">
        <v>14300000</v>
      </c>
      <c r="J311" s="26">
        <v>0</v>
      </c>
      <c r="K311" s="26">
        <f t="shared" si="4"/>
        <v>14300000</v>
      </c>
    </row>
    <row r="312" spans="1:11" ht="15">
      <c r="A312" s="166">
        <v>44502</v>
      </c>
      <c r="B312" s="28">
        <v>1344</v>
      </c>
      <c r="C312" s="168">
        <v>1703</v>
      </c>
      <c r="D312" s="28">
        <v>1932</v>
      </c>
      <c r="E312" s="115" t="s">
        <v>3823</v>
      </c>
      <c r="F312" s="29"/>
      <c r="G312" s="115" t="s">
        <v>3806</v>
      </c>
      <c r="H312" s="15"/>
      <c r="I312" s="151">
        <v>12500000</v>
      </c>
      <c r="J312" s="26">
        <v>9666667</v>
      </c>
      <c r="K312" s="26">
        <f t="shared" si="4"/>
        <v>2833333</v>
      </c>
    </row>
    <row r="313" spans="1:11" ht="15">
      <c r="A313" s="166">
        <v>44503</v>
      </c>
      <c r="B313" s="28">
        <v>1326</v>
      </c>
      <c r="C313" s="168">
        <v>1711</v>
      </c>
      <c r="D313" s="28">
        <v>1935</v>
      </c>
      <c r="E313" s="115" t="s">
        <v>2067</v>
      </c>
      <c r="F313" s="29"/>
      <c r="G313" s="115" t="s">
        <v>3807</v>
      </c>
      <c r="H313" s="15"/>
      <c r="I313" s="151">
        <v>4300800</v>
      </c>
      <c r="J313" s="26">
        <v>3891200</v>
      </c>
      <c r="K313" s="26">
        <f t="shared" si="4"/>
        <v>409600</v>
      </c>
    </row>
    <row r="314" spans="1:11" ht="15">
      <c r="A314" s="166">
        <v>44503</v>
      </c>
      <c r="B314" s="28">
        <v>1347</v>
      </c>
      <c r="C314" s="168">
        <v>1730</v>
      </c>
      <c r="D314" s="28">
        <v>1936</v>
      </c>
      <c r="E314" s="115" t="s">
        <v>3824</v>
      </c>
      <c r="F314" s="29"/>
      <c r="G314" s="115" t="s">
        <v>3808</v>
      </c>
      <c r="H314" s="15"/>
      <c r="I314" s="151">
        <v>10790000</v>
      </c>
      <c r="J314" s="26">
        <v>9628000</v>
      </c>
      <c r="K314" s="26">
        <f t="shared" si="4"/>
        <v>1162000</v>
      </c>
    </row>
    <row r="315" spans="1:11" ht="15">
      <c r="A315" s="166">
        <v>44503</v>
      </c>
      <c r="B315" s="28">
        <v>1353</v>
      </c>
      <c r="C315" s="168">
        <v>1721</v>
      </c>
      <c r="D315" s="28">
        <v>1937</v>
      </c>
      <c r="E315" s="115" t="s">
        <v>3825</v>
      </c>
      <c r="F315" s="29"/>
      <c r="G315" s="115" t="s">
        <v>421</v>
      </c>
      <c r="H315" s="15"/>
      <c r="I315" s="151">
        <v>8508649</v>
      </c>
      <c r="J315" s="26">
        <v>7710963</v>
      </c>
      <c r="K315" s="26">
        <f t="shared" si="4"/>
        <v>797686</v>
      </c>
    </row>
    <row r="316" spans="1:11" ht="15">
      <c r="A316" s="166">
        <v>44503</v>
      </c>
      <c r="B316" s="28">
        <v>346</v>
      </c>
      <c r="C316" s="168">
        <v>1719</v>
      </c>
      <c r="D316" s="28">
        <v>1938</v>
      </c>
      <c r="E316" s="115" t="s">
        <v>3826</v>
      </c>
      <c r="F316" s="29"/>
      <c r="G316" s="115" t="s">
        <v>350</v>
      </c>
      <c r="H316" s="15"/>
      <c r="I316" s="151">
        <v>6912000</v>
      </c>
      <c r="J316" s="26">
        <v>6912000</v>
      </c>
      <c r="K316" s="26">
        <f t="shared" si="4"/>
        <v>0</v>
      </c>
    </row>
    <row r="317" spans="1:11" ht="15">
      <c r="A317" s="166">
        <v>44504</v>
      </c>
      <c r="B317" s="28">
        <v>1351</v>
      </c>
      <c r="C317" s="168">
        <v>1729</v>
      </c>
      <c r="D317" s="28">
        <v>1940</v>
      </c>
      <c r="E317" s="115" t="s">
        <v>3827</v>
      </c>
      <c r="F317" s="29"/>
      <c r="G317" s="115" t="s">
        <v>3809</v>
      </c>
      <c r="H317" s="15"/>
      <c r="I317" s="151">
        <v>8992067</v>
      </c>
      <c r="J317" s="26">
        <v>7686767</v>
      </c>
      <c r="K317" s="26">
        <f t="shared" si="4"/>
        <v>1305300</v>
      </c>
    </row>
    <row r="318" spans="1:11" ht="15">
      <c r="A318" s="166">
        <v>44504</v>
      </c>
      <c r="B318" s="28">
        <v>1349</v>
      </c>
      <c r="C318" s="168">
        <v>1716</v>
      </c>
      <c r="D318" s="28">
        <v>1942</v>
      </c>
      <c r="E318" s="115" t="s">
        <v>3828</v>
      </c>
      <c r="F318" s="29"/>
      <c r="G318" s="115" t="s">
        <v>3810</v>
      </c>
      <c r="H318" s="15"/>
      <c r="I318" s="151">
        <v>18400000</v>
      </c>
      <c r="J318" s="26">
        <v>0</v>
      </c>
      <c r="K318" s="26">
        <f t="shared" si="4"/>
        <v>18400000</v>
      </c>
    </row>
    <row r="319" spans="1:11" ht="15">
      <c r="A319" s="166">
        <v>44505</v>
      </c>
      <c r="B319" s="28">
        <v>266</v>
      </c>
      <c r="C319" s="168">
        <v>1751</v>
      </c>
      <c r="D319" s="28">
        <v>1945</v>
      </c>
      <c r="E319" s="115" t="s">
        <v>3829</v>
      </c>
      <c r="F319" s="29"/>
      <c r="G319" s="115" t="s">
        <v>82</v>
      </c>
      <c r="H319" s="15"/>
      <c r="I319" s="151">
        <v>14080000</v>
      </c>
      <c r="J319" s="26">
        <v>14080000</v>
      </c>
      <c r="K319" s="26">
        <f t="shared" si="4"/>
        <v>0</v>
      </c>
    </row>
    <row r="320" spans="1:11" ht="15">
      <c r="A320" s="166">
        <v>44505</v>
      </c>
      <c r="B320" s="28">
        <v>54517685</v>
      </c>
      <c r="C320" s="168">
        <v>1011</v>
      </c>
      <c r="D320" s="28">
        <v>1955</v>
      </c>
      <c r="E320" s="115" t="s">
        <v>3775</v>
      </c>
      <c r="F320" s="29"/>
      <c r="G320" s="115" t="s">
        <v>1165</v>
      </c>
      <c r="H320" s="15"/>
      <c r="I320" s="151">
        <v>4289773</v>
      </c>
      <c r="J320" s="26">
        <v>4289773</v>
      </c>
      <c r="K320" s="26">
        <f t="shared" si="4"/>
        <v>0</v>
      </c>
    </row>
    <row r="321" spans="1:11" ht="15">
      <c r="A321" s="166">
        <v>44508</v>
      </c>
      <c r="B321" s="28">
        <v>771</v>
      </c>
      <c r="C321" s="168">
        <v>1736</v>
      </c>
      <c r="D321" s="28">
        <v>1964</v>
      </c>
      <c r="E321" s="115" t="s">
        <v>3830</v>
      </c>
      <c r="F321" s="29"/>
      <c r="G321" s="115" t="s">
        <v>2055</v>
      </c>
      <c r="H321" s="15"/>
      <c r="I321" s="151">
        <v>4126600</v>
      </c>
      <c r="J321" s="26">
        <v>4126600</v>
      </c>
      <c r="K321" s="26">
        <f t="shared" si="4"/>
        <v>0</v>
      </c>
    </row>
    <row r="322" spans="1:11" ht="15">
      <c r="A322" s="166">
        <v>44509</v>
      </c>
      <c r="B322" s="28">
        <v>90</v>
      </c>
      <c r="C322" s="168">
        <v>1764</v>
      </c>
      <c r="D322" s="28">
        <v>1968</v>
      </c>
      <c r="E322" s="115" t="s">
        <v>3831</v>
      </c>
      <c r="F322" s="29"/>
      <c r="G322" s="115" t="s">
        <v>1527</v>
      </c>
      <c r="H322" s="15"/>
      <c r="I322" s="151">
        <v>300174234</v>
      </c>
      <c r="J322" s="26">
        <v>300174234</v>
      </c>
      <c r="K322" s="26">
        <f t="shared" si="4"/>
        <v>0</v>
      </c>
    </row>
    <row r="323" spans="1:11" ht="15">
      <c r="A323" s="166">
        <v>44509</v>
      </c>
      <c r="B323" s="28">
        <v>91</v>
      </c>
      <c r="C323" s="168">
        <v>1765</v>
      </c>
      <c r="D323" s="28">
        <v>1969</v>
      </c>
      <c r="E323" s="115" t="s">
        <v>3832</v>
      </c>
      <c r="F323" s="29"/>
      <c r="G323" s="115" t="s">
        <v>1527</v>
      </c>
      <c r="H323" s="15"/>
      <c r="I323" s="151">
        <v>1017800</v>
      </c>
      <c r="J323" s="26">
        <v>1017800</v>
      </c>
      <c r="K323" s="26">
        <f t="shared" si="4"/>
        <v>0</v>
      </c>
    </row>
    <row r="324" spans="1:11" ht="15">
      <c r="A324" s="166">
        <v>44509</v>
      </c>
      <c r="B324" s="28">
        <v>1366</v>
      </c>
      <c r="C324" s="168">
        <v>1739</v>
      </c>
      <c r="D324" s="28">
        <v>1971</v>
      </c>
      <c r="E324" s="115" t="s">
        <v>3520</v>
      </c>
      <c r="F324" s="29"/>
      <c r="G324" s="115" t="s">
        <v>3811</v>
      </c>
      <c r="H324" s="15"/>
      <c r="I324" s="151">
        <v>10500000</v>
      </c>
      <c r="J324" s="26">
        <v>8500000</v>
      </c>
      <c r="K324" s="26">
        <f t="shared" si="4"/>
        <v>2000000</v>
      </c>
    </row>
    <row r="325" spans="1:11" ht="15">
      <c r="A325" s="166">
        <v>44510</v>
      </c>
      <c r="B325" s="28">
        <v>1370</v>
      </c>
      <c r="C325" s="168">
        <v>1737</v>
      </c>
      <c r="D325" s="28">
        <v>1974</v>
      </c>
      <c r="E325" s="115" t="s">
        <v>3520</v>
      </c>
      <c r="F325" s="29"/>
      <c r="G325" s="115" t="s">
        <v>3812</v>
      </c>
      <c r="H325" s="15"/>
      <c r="I325" s="151">
        <v>9666667</v>
      </c>
      <c r="J325" s="26">
        <v>6500000</v>
      </c>
      <c r="K325" s="26">
        <f t="shared" si="4"/>
        <v>3166667</v>
      </c>
    </row>
    <row r="326" spans="1:11" ht="15">
      <c r="A326" s="166">
        <v>44511</v>
      </c>
      <c r="B326" s="28">
        <v>1372</v>
      </c>
      <c r="C326" s="168">
        <v>1617</v>
      </c>
      <c r="D326" s="28">
        <v>1975</v>
      </c>
      <c r="E326" s="115" t="s">
        <v>3781</v>
      </c>
      <c r="F326" s="29"/>
      <c r="G326" s="115" t="s">
        <v>3800</v>
      </c>
      <c r="H326" s="15"/>
      <c r="I326" s="151">
        <v>70000000</v>
      </c>
      <c r="J326" s="26">
        <v>993650</v>
      </c>
      <c r="K326" s="26">
        <f t="shared" si="4"/>
        <v>69006350</v>
      </c>
    </row>
    <row r="327" spans="1:11" ht="15">
      <c r="A327" s="166">
        <v>44512</v>
      </c>
      <c r="B327" s="28">
        <v>1383</v>
      </c>
      <c r="C327" s="168">
        <v>1770</v>
      </c>
      <c r="D327" s="28">
        <v>1982</v>
      </c>
      <c r="E327" s="115" t="s">
        <v>3833</v>
      </c>
      <c r="F327" s="29"/>
      <c r="G327" s="115" t="s">
        <v>3813</v>
      </c>
      <c r="H327" s="15"/>
      <c r="I327" s="151">
        <v>5569228158</v>
      </c>
      <c r="J327" s="26">
        <v>0</v>
      </c>
      <c r="K327" s="26">
        <f t="shared" si="4"/>
        <v>5569228158</v>
      </c>
    </row>
    <row r="328" spans="1:11" ht="15">
      <c r="A328" s="166">
        <v>44516</v>
      </c>
      <c r="B328" s="28">
        <v>1378</v>
      </c>
      <c r="C328" s="168">
        <v>1773</v>
      </c>
      <c r="D328" s="28">
        <v>1983</v>
      </c>
      <c r="E328" s="115" t="s">
        <v>3834</v>
      </c>
      <c r="F328" s="29"/>
      <c r="G328" s="115" t="s">
        <v>3814</v>
      </c>
      <c r="H328" s="15"/>
      <c r="I328" s="151">
        <v>10500000</v>
      </c>
      <c r="J328" s="26">
        <v>9800000</v>
      </c>
      <c r="K328" s="26">
        <f t="shared" si="4"/>
        <v>700000</v>
      </c>
    </row>
    <row r="329" spans="1:11" ht="15">
      <c r="A329" s="166">
        <v>44517</v>
      </c>
      <c r="B329" s="28">
        <v>1389</v>
      </c>
      <c r="C329" s="168">
        <v>1784</v>
      </c>
      <c r="D329" s="28">
        <v>1990</v>
      </c>
      <c r="E329" s="115" t="s">
        <v>3835</v>
      </c>
      <c r="F329" s="29"/>
      <c r="G329" s="115" t="s">
        <v>3815</v>
      </c>
      <c r="H329" s="15"/>
      <c r="I329" s="151">
        <v>10207289</v>
      </c>
      <c r="J329" s="26">
        <v>9980460</v>
      </c>
      <c r="K329" s="26">
        <f t="shared" si="4"/>
        <v>226829</v>
      </c>
    </row>
    <row r="330" spans="1:11" ht="15">
      <c r="A330" s="166">
        <v>44517</v>
      </c>
      <c r="B330" s="28">
        <v>1388</v>
      </c>
      <c r="C330" s="168">
        <v>1782</v>
      </c>
      <c r="D330" s="28">
        <v>1991</v>
      </c>
      <c r="E330" s="115" t="s">
        <v>3836</v>
      </c>
      <c r="F330" s="29"/>
      <c r="G330" s="115" t="s">
        <v>3816</v>
      </c>
      <c r="H330" s="15"/>
      <c r="I330" s="151">
        <v>13056000</v>
      </c>
      <c r="J330" s="26">
        <v>12765866</v>
      </c>
      <c r="K330" s="26">
        <f t="shared" si="4"/>
        <v>290134</v>
      </c>
    </row>
    <row r="331" spans="1:11" ht="15">
      <c r="A331" s="166">
        <v>44517</v>
      </c>
      <c r="B331" s="28">
        <v>94</v>
      </c>
      <c r="C331" s="168">
        <v>1789</v>
      </c>
      <c r="D331" s="28">
        <v>1993</v>
      </c>
      <c r="E331" s="115" t="s">
        <v>3837</v>
      </c>
      <c r="F331" s="29"/>
      <c r="G331" s="115" t="s">
        <v>1527</v>
      </c>
      <c r="H331" s="15"/>
      <c r="I331" s="151">
        <v>997369885</v>
      </c>
      <c r="J331" s="26">
        <v>997369885</v>
      </c>
      <c r="K331" s="26">
        <f t="shared" si="4"/>
        <v>0</v>
      </c>
    </row>
    <row r="332" spans="1:11" ht="15">
      <c r="A332" s="166">
        <v>44517</v>
      </c>
      <c r="B332" s="28">
        <v>95</v>
      </c>
      <c r="C332" s="168">
        <v>1790</v>
      </c>
      <c r="D332" s="28">
        <v>1994</v>
      </c>
      <c r="E332" s="115" t="s">
        <v>3838</v>
      </c>
      <c r="F332" s="29"/>
      <c r="G332" s="115" t="s">
        <v>1527</v>
      </c>
      <c r="H332" s="15"/>
      <c r="I332" s="151">
        <v>370998</v>
      </c>
      <c r="J332" s="26">
        <v>370998</v>
      </c>
      <c r="K332" s="26">
        <f t="shared" si="4"/>
        <v>0</v>
      </c>
    </row>
    <row r="333" spans="1:11" ht="15">
      <c r="A333" s="166">
        <v>44519</v>
      </c>
      <c r="B333" s="28">
        <v>1391</v>
      </c>
      <c r="C333" s="168">
        <v>1783</v>
      </c>
      <c r="D333" s="28">
        <v>2000</v>
      </c>
      <c r="E333" s="115" t="s">
        <v>3516</v>
      </c>
      <c r="F333" s="29"/>
      <c r="G333" s="115" t="s">
        <v>3818</v>
      </c>
      <c r="H333" s="15"/>
      <c r="I333" s="151">
        <v>7333333</v>
      </c>
      <c r="J333" s="26">
        <v>7000000</v>
      </c>
      <c r="K333" s="26">
        <f t="shared" si="4"/>
        <v>333333</v>
      </c>
    </row>
    <row r="334" spans="1:11" ht="15">
      <c r="A334" s="166">
        <v>44519</v>
      </c>
      <c r="B334" s="28">
        <v>1390</v>
      </c>
      <c r="C334" s="168">
        <v>1780</v>
      </c>
      <c r="D334" s="28">
        <v>2001</v>
      </c>
      <c r="E334" s="115" t="s">
        <v>3839</v>
      </c>
      <c r="F334" s="29"/>
      <c r="G334" s="115" t="s">
        <v>3819</v>
      </c>
      <c r="H334" s="15"/>
      <c r="I334" s="151">
        <v>8250000</v>
      </c>
      <c r="J334" s="26">
        <v>1650000</v>
      </c>
      <c r="K334" s="26">
        <f t="shared" si="4"/>
        <v>6600000</v>
      </c>
    </row>
    <row r="335" spans="1:11" ht="15">
      <c r="A335" s="166">
        <v>44519</v>
      </c>
      <c r="B335" s="28">
        <v>1379</v>
      </c>
      <c r="C335" s="168">
        <v>1771</v>
      </c>
      <c r="D335" s="28">
        <v>2004</v>
      </c>
      <c r="E335" s="115" t="s">
        <v>3840</v>
      </c>
      <c r="F335" s="29"/>
      <c r="G335" s="115" t="s">
        <v>3817</v>
      </c>
      <c r="H335" s="15"/>
      <c r="I335" s="151">
        <f>8145433</f>
        <v>8145433</v>
      </c>
      <c r="J335" s="26">
        <v>6483100</v>
      </c>
      <c r="K335" s="26">
        <f t="shared" si="4"/>
        <v>1662333</v>
      </c>
    </row>
    <row r="336" spans="1:11" ht="15">
      <c r="A336" s="166">
        <v>44519</v>
      </c>
      <c r="B336" s="28">
        <v>275</v>
      </c>
      <c r="C336" s="168">
        <v>1794</v>
      </c>
      <c r="D336" s="28">
        <v>2007</v>
      </c>
      <c r="E336" s="115" t="s">
        <v>3841</v>
      </c>
      <c r="F336" s="29"/>
      <c r="G336" s="115" t="s">
        <v>534</v>
      </c>
      <c r="H336" s="15"/>
      <c r="I336" s="151">
        <v>6553600</v>
      </c>
      <c r="J336" s="26">
        <v>6389760</v>
      </c>
      <c r="K336" s="26">
        <f t="shared" si="4"/>
        <v>163840</v>
      </c>
    </row>
    <row r="337" spans="1:11" ht="15">
      <c r="A337" s="166">
        <v>44519</v>
      </c>
      <c r="B337" s="28">
        <v>263</v>
      </c>
      <c r="C337" s="168">
        <v>1795</v>
      </c>
      <c r="D337" s="28">
        <v>2008</v>
      </c>
      <c r="E337" s="115" t="s">
        <v>3842</v>
      </c>
      <c r="F337" s="29"/>
      <c r="G337" s="115" t="s">
        <v>368</v>
      </c>
      <c r="H337" s="15"/>
      <c r="I337" s="151">
        <v>6826667</v>
      </c>
      <c r="J337" s="26">
        <v>6826667</v>
      </c>
      <c r="K337" s="26">
        <f t="shared" si="4"/>
        <v>0</v>
      </c>
    </row>
    <row r="338" spans="1:11" ht="15">
      <c r="A338" s="166">
        <v>44524</v>
      </c>
      <c r="B338" s="28">
        <v>1394</v>
      </c>
      <c r="C338" s="168">
        <v>1781</v>
      </c>
      <c r="D338" s="28">
        <v>2010</v>
      </c>
      <c r="E338" s="115" t="s">
        <v>3843</v>
      </c>
      <c r="F338" s="29"/>
      <c r="G338" s="115" t="s">
        <v>1155</v>
      </c>
      <c r="H338" s="15"/>
      <c r="I338" s="151">
        <v>2665010</v>
      </c>
      <c r="J338" s="26">
        <v>2241031</v>
      </c>
      <c r="K338" s="26">
        <f t="shared" si="4"/>
        <v>423979</v>
      </c>
    </row>
    <row r="339" spans="1:11" ht="15">
      <c r="A339" s="166">
        <v>44524</v>
      </c>
      <c r="B339" s="28">
        <v>1395</v>
      </c>
      <c r="C339" s="168">
        <v>1800</v>
      </c>
      <c r="D339" s="28">
        <v>2015</v>
      </c>
      <c r="E339" s="115" t="s">
        <v>3844</v>
      </c>
      <c r="F339" s="29"/>
      <c r="G339" s="115" t="s">
        <v>53</v>
      </c>
      <c r="H339" s="15"/>
      <c r="I339" s="151">
        <v>8402700</v>
      </c>
      <c r="J339" s="26">
        <v>8175600</v>
      </c>
      <c r="K339" s="26">
        <f t="shared" si="4"/>
        <v>227100</v>
      </c>
    </row>
    <row r="340" spans="1:11" ht="15">
      <c r="A340" s="166">
        <v>44525</v>
      </c>
      <c r="B340" s="28">
        <v>262</v>
      </c>
      <c r="C340" s="168">
        <v>1810</v>
      </c>
      <c r="D340" s="28">
        <v>2018</v>
      </c>
      <c r="E340" s="115" t="s">
        <v>3845</v>
      </c>
      <c r="F340" s="29"/>
      <c r="G340" s="115" t="s">
        <v>533</v>
      </c>
      <c r="H340" s="15"/>
      <c r="I340" s="151">
        <v>4915200</v>
      </c>
      <c r="J340" s="26">
        <v>4915200</v>
      </c>
      <c r="K340" s="26">
        <f t="shared" si="4"/>
        <v>0</v>
      </c>
    </row>
    <row r="341" spans="1:11" ht="15">
      <c r="A341" s="166">
        <v>44526</v>
      </c>
      <c r="B341" s="28">
        <v>1400</v>
      </c>
      <c r="C341" s="168">
        <v>1801</v>
      </c>
      <c r="D341" s="28">
        <v>2019</v>
      </c>
      <c r="E341" s="115" t="s">
        <v>3846</v>
      </c>
      <c r="F341" s="29"/>
      <c r="G341" s="115" t="s">
        <v>3820</v>
      </c>
      <c r="H341" s="15"/>
      <c r="I341" s="151">
        <v>7600000</v>
      </c>
      <c r="J341" s="26">
        <v>7000000</v>
      </c>
      <c r="K341" s="26">
        <f t="shared" si="4"/>
        <v>600000</v>
      </c>
    </row>
    <row r="342" spans="1:11" ht="15">
      <c r="A342" s="166">
        <v>44526</v>
      </c>
      <c r="B342" s="28">
        <v>1399</v>
      </c>
      <c r="C342" s="168">
        <v>1811</v>
      </c>
      <c r="D342" s="28">
        <v>2020</v>
      </c>
      <c r="E342" s="115" t="s">
        <v>3847</v>
      </c>
      <c r="F342" s="29"/>
      <c r="G342" s="115" t="s">
        <v>3821</v>
      </c>
      <c r="H342" s="15"/>
      <c r="I342" s="151">
        <v>5833333</v>
      </c>
      <c r="J342" s="26">
        <v>5833333</v>
      </c>
      <c r="K342" s="26">
        <f t="shared" si="4"/>
        <v>0</v>
      </c>
    </row>
    <row r="343" spans="1:11" ht="15">
      <c r="A343" s="166">
        <v>44530</v>
      </c>
      <c r="B343" s="28">
        <v>1405</v>
      </c>
      <c r="C343" s="168">
        <v>1820</v>
      </c>
      <c r="D343" s="28">
        <v>2026</v>
      </c>
      <c r="E343" s="115" t="s">
        <v>3848</v>
      </c>
      <c r="F343" s="29"/>
      <c r="G343" s="115" t="s">
        <v>3822</v>
      </c>
      <c r="H343" s="15"/>
      <c r="I343" s="151">
        <v>9333333</v>
      </c>
      <c r="J343" s="26">
        <v>8266667</v>
      </c>
      <c r="K343" s="26">
        <f t="shared" si="5" ref="K343:K372">+I343-J343</f>
        <v>1066666</v>
      </c>
    </row>
    <row r="344" spans="1:11" ht="15">
      <c r="A344" s="166">
        <v>44537</v>
      </c>
      <c r="B344" s="279" t="s">
        <v>3947</v>
      </c>
      <c r="C344" s="168">
        <v>1844</v>
      </c>
      <c r="D344" s="28">
        <v>2054</v>
      </c>
      <c r="E344" s="115" t="s">
        <v>3918</v>
      </c>
      <c r="F344" s="29"/>
      <c r="G344" s="115" t="s">
        <v>1527</v>
      </c>
      <c r="H344" s="15"/>
      <c r="I344" s="151">
        <v>336858681</v>
      </c>
      <c r="J344" s="26">
        <v>336858681</v>
      </c>
      <c r="K344" s="26">
        <f t="shared" si="5"/>
        <v>0</v>
      </c>
    </row>
    <row r="345" spans="1:11" ht="15">
      <c r="A345" s="166">
        <v>44537</v>
      </c>
      <c r="B345" s="279" t="s">
        <v>3948</v>
      </c>
      <c r="C345" s="168">
        <v>1845</v>
      </c>
      <c r="D345" s="28">
        <v>2055</v>
      </c>
      <c r="E345" s="115" t="s">
        <v>3919</v>
      </c>
      <c r="F345" s="29"/>
      <c r="G345" s="115" t="s">
        <v>1527</v>
      </c>
      <c r="H345" s="15"/>
      <c r="I345" s="151">
        <v>1465299357</v>
      </c>
      <c r="J345" s="26">
        <v>1465299357</v>
      </c>
      <c r="K345" s="26">
        <f t="shared" si="5"/>
        <v>0</v>
      </c>
    </row>
    <row r="346" spans="1:11" ht="15">
      <c r="A346" s="166">
        <v>44537</v>
      </c>
      <c r="B346" s="279" t="s">
        <v>2160</v>
      </c>
      <c r="C346" s="168">
        <v>1846</v>
      </c>
      <c r="D346" s="28">
        <v>2056</v>
      </c>
      <c r="E346" s="115" t="s">
        <v>3920</v>
      </c>
      <c r="F346" s="29"/>
      <c r="G346" s="115" t="s">
        <v>1527</v>
      </c>
      <c r="H346" s="15"/>
      <c r="I346" s="151">
        <v>424235</v>
      </c>
      <c r="J346" s="26">
        <v>424235</v>
      </c>
      <c r="K346" s="26">
        <f t="shared" si="5"/>
        <v>0</v>
      </c>
    </row>
    <row r="347" spans="1:11" ht="15">
      <c r="A347" s="166">
        <v>44537</v>
      </c>
      <c r="B347" s="279" t="s">
        <v>3949</v>
      </c>
      <c r="C347" s="168">
        <v>1847</v>
      </c>
      <c r="D347" s="28">
        <v>2057</v>
      </c>
      <c r="E347" s="115" t="s">
        <v>3921</v>
      </c>
      <c r="F347" s="29"/>
      <c r="G347" s="115" t="s">
        <v>1527</v>
      </c>
      <c r="H347" s="15"/>
      <c r="I347" s="151">
        <v>6583700</v>
      </c>
      <c r="J347" s="26">
        <v>6583700</v>
      </c>
      <c r="K347" s="26">
        <f t="shared" si="5"/>
        <v>0</v>
      </c>
    </row>
    <row r="348" spans="1:11" ht="15">
      <c r="A348" s="166">
        <v>44537</v>
      </c>
      <c r="B348" s="279" t="s">
        <v>1554</v>
      </c>
      <c r="C348" s="168">
        <v>1853</v>
      </c>
      <c r="D348" s="28">
        <v>2070</v>
      </c>
      <c r="E348" s="115" t="s">
        <v>3922</v>
      </c>
      <c r="F348" s="29"/>
      <c r="G348" s="115" t="s">
        <v>1979</v>
      </c>
      <c r="H348" s="15"/>
      <c r="I348" s="151">
        <v>50000000</v>
      </c>
      <c r="J348" s="26">
        <v>0</v>
      </c>
      <c r="K348" s="26">
        <f t="shared" si="5"/>
        <v>50000000</v>
      </c>
    </row>
    <row r="349" spans="1:11" ht="15">
      <c r="A349" s="166">
        <v>44539</v>
      </c>
      <c r="B349" s="279" t="s">
        <v>2920</v>
      </c>
      <c r="C349" s="168">
        <v>1827</v>
      </c>
      <c r="D349" s="28">
        <v>2071</v>
      </c>
      <c r="E349" s="115" t="s">
        <v>3923</v>
      </c>
      <c r="F349" s="29"/>
      <c r="G349" s="115" t="s">
        <v>3911</v>
      </c>
      <c r="H349" s="15"/>
      <c r="I349" s="151">
        <v>5000000</v>
      </c>
      <c r="J349" s="26">
        <v>3666667</v>
      </c>
      <c r="K349" s="26">
        <f t="shared" si="5"/>
        <v>1333333</v>
      </c>
    </row>
    <row r="350" spans="1:11" ht="15">
      <c r="A350" s="166">
        <v>44543</v>
      </c>
      <c r="B350" s="279" t="s">
        <v>2912</v>
      </c>
      <c r="C350" s="168">
        <v>1859</v>
      </c>
      <c r="D350" s="28">
        <v>2174</v>
      </c>
      <c r="E350" s="115" t="s">
        <v>3924</v>
      </c>
      <c r="F350" s="29"/>
      <c r="G350" s="115" t="s">
        <v>3912</v>
      </c>
      <c r="H350" s="15"/>
      <c r="I350" s="151">
        <v>8500000</v>
      </c>
      <c r="J350" s="26">
        <v>5100000</v>
      </c>
      <c r="K350" s="26">
        <f t="shared" si="5"/>
        <v>3400000</v>
      </c>
    </row>
    <row r="351" spans="1:11" ht="15">
      <c r="A351" s="166">
        <v>44544</v>
      </c>
      <c r="B351" s="279" t="s">
        <v>3950</v>
      </c>
      <c r="C351" s="168">
        <v>1860</v>
      </c>
      <c r="D351" s="28">
        <v>2178</v>
      </c>
      <c r="E351" s="115" t="s">
        <v>3925</v>
      </c>
      <c r="F351" s="29"/>
      <c r="G351" s="115" t="s">
        <v>3913</v>
      </c>
      <c r="H351" s="15"/>
      <c r="I351" s="151">
        <v>7000000</v>
      </c>
      <c r="J351" s="26">
        <v>3966667</v>
      </c>
      <c r="K351" s="26">
        <f t="shared" si="5"/>
        <v>3033333</v>
      </c>
    </row>
    <row r="352" spans="1:11" ht="15">
      <c r="A352" s="166">
        <v>44544</v>
      </c>
      <c r="B352" s="279" t="s">
        <v>1126</v>
      </c>
      <c r="C352" s="168">
        <v>1876</v>
      </c>
      <c r="D352" s="28">
        <v>2183</v>
      </c>
      <c r="E352" s="115" t="s">
        <v>3926</v>
      </c>
      <c r="F352" s="29"/>
      <c r="G352" s="115" t="s">
        <v>3914</v>
      </c>
      <c r="H352" s="15"/>
      <c r="I352" s="151">
        <v>2100000</v>
      </c>
      <c r="J352" s="26">
        <v>1600000</v>
      </c>
      <c r="K352" s="26">
        <f t="shared" si="5"/>
        <v>500000</v>
      </c>
    </row>
    <row r="353" spans="1:11" ht="15">
      <c r="A353" s="166">
        <v>44545</v>
      </c>
      <c r="B353" s="279" t="s">
        <v>3951</v>
      </c>
      <c r="C353" s="168">
        <v>1755</v>
      </c>
      <c r="D353" s="28">
        <v>2189</v>
      </c>
      <c r="E353" s="115" t="s">
        <v>3927</v>
      </c>
      <c r="F353" s="29"/>
      <c r="G353" s="115" t="s">
        <v>1165</v>
      </c>
      <c r="H353" s="15"/>
      <c r="I353" s="151">
        <v>4298773</v>
      </c>
      <c r="J353" s="26">
        <v>4298773</v>
      </c>
      <c r="K353" s="26">
        <f t="shared" si="5"/>
        <v>0</v>
      </c>
    </row>
    <row r="354" spans="1:11" ht="15">
      <c r="A354" s="166">
        <v>44545</v>
      </c>
      <c r="B354" s="279" t="s">
        <v>1128</v>
      </c>
      <c r="C354" s="168">
        <v>1872</v>
      </c>
      <c r="D354" s="28">
        <v>2192</v>
      </c>
      <c r="E354" s="115" t="s">
        <v>3928</v>
      </c>
      <c r="F354" s="29"/>
      <c r="G354" s="115" t="s">
        <v>1079</v>
      </c>
      <c r="H354" s="15"/>
      <c r="I354" s="151">
        <v>2500000</v>
      </c>
      <c r="J354" s="26">
        <v>2500000</v>
      </c>
      <c r="K354" s="26">
        <f t="shared" si="5"/>
        <v>0</v>
      </c>
    </row>
    <row r="355" spans="1:11" ht="15">
      <c r="A355" s="166">
        <v>44546</v>
      </c>
      <c r="B355" s="279" t="s">
        <v>1798</v>
      </c>
      <c r="C355" s="168">
        <v>1881</v>
      </c>
      <c r="D355" s="28">
        <v>2195</v>
      </c>
      <c r="E355" s="115" t="s">
        <v>3929</v>
      </c>
      <c r="F355" s="29"/>
      <c r="G355" s="115" t="s">
        <v>1686</v>
      </c>
      <c r="H355" s="15"/>
      <c r="I355" s="151">
        <v>5120000</v>
      </c>
      <c r="J355" s="26">
        <v>2389334</v>
      </c>
      <c r="K355" s="26">
        <f t="shared" si="5"/>
        <v>2730666</v>
      </c>
    </row>
    <row r="356" spans="1:11" ht="15">
      <c r="A356" s="166">
        <v>44547</v>
      </c>
      <c r="B356" s="279" t="s">
        <v>1809</v>
      </c>
      <c r="C356" s="168">
        <v>1891</v>
      </c>
      <c r="D356" s="28">
        <v>2196</v>
      </c>
      <c r="E356" s="115" t="s">
        <v>3930</v>
      </c>
      <c r="F356" s="29"/>
      <c r="G356" s="115" t="s">
        <v>1535</v>
      </c>
      <c r="H356" s="15"/>
      <c r="I356" s="151">
        <v>6000000</v>
      </c>
      <c r="J356" s="26">
        <v>2800000</v>
      </c>
      <c r="K356" s="26">
        <f t="shared" si="5"/>
        <v>3200000</v>
      </c>
    </row>
    <row r="357" spans="1:11" ht="15">
      <c r="A357" s="166">
        <v>44551</v>
      </c>
      <c r="B357" s="279" t="s">
        <v>3952</v>
      </c>
      <c r="C357" s="168">
        <v>1890</v>
      </c>
      <c r="D357" s="28">
        <v>2244</v>
      </c>
      <c r="E357" s="115" t="s">
        <v>3931</v>
      </c>
      <c r="F357" s="29"/>
      <c r="G357" s="115" t="s">
        <v>404</v>
      </c>
      <c r="H357" s="15"/>
      <c r="I357" s="151">
        <v>2316288</v>
      </c>
      <c r="J357" s="26">
        <v>2316288</v>
      </c>
      <c r="K357" s="26">
        <f t="shared" si="5"/>
        <v>0</v>
      </c>
    </row>
    <row r="358" spans="1:11" ht="15">
      <c r="A358" s="166">
        <v>44551</v>
      </c>
      <c r="B358" s="279" t="s">
        <v>3953</v>
      </c>
      <c r="C358" s="168">
        <v>1899</v>
      </c>
      <c r="D358" s="28">
        <v>2245</v>
      </c>
      <c r="E358" s="115" t="s">
        <v>3932</v>
      </c>
      <c r="F358" s="29"/>
      <c r="G358" s="115" t="s">
        <v>1527</v>
      </c>
      <c r="H358" s="15"/>
      <c r="I358" s="151">
        <v>347168425</v>
      </c>
      <c r="J358" s="26">
        <v>347168425</v>
      </c>
      <c r="K358" s="26">
        <f t="shared" si="5"/>
        <v>0</v>
      </c>
    </row>
    <row r="359" spans="1:11" ht="15">
      <c r="A359" s="166">
        <v>44551</v>
      </c>
      <c r="B359" s="279" t="s">
        <v>3954</v>
      </c>
      <c r="C359" s="168">
        <v>1902</v>
      </c>
      <c r="D359" s="28">
        <v>2246</v>
      </c>
      <c r="E359" s="115" t="s">
        <v>3933</v>
      </c>
      <c r="F359" s="29"/>
      <c r="G359" s="115" t="s">
        <v>1527</v>
      </c>
      <c r="H359" s="15"/>
      <c r="I359" s="151">
        <v>436230272</v>
      </c>
      <c r="J359" s="26">
        <v>436230272</v>
      </c>
      <c r="K359" s="26">
        <f t="shared" si="5"/>
        <v>0</v>
      </c>
    </row>
    <row r="360" spans="1:11" ht="15">
      <c r="A360" s="166">
        <v>44552</v>
      </c>
      <c r="B360" s="279" t="s">
        <v>3955</v>
      </c>
      <c r="C360" s="168">
        <v>1869</v>
      </c>
      <c r="D360" s="28">
        <v>2255</v>
      </c>
      <c r="E360" s="115" t="s">
        <v>3934</v>
      </c>
      <c r="F360" s="29"/>
      <c r="G360" s="115" t="s">
        <v>164</v>
      </c>
      <c r="H360" s="15"/>
      <c r="I360" s="151">
        <v>860160</v>
      </c>
      <c r="J360" s="26">
        <v>0</v>
      </c>
      <c r="K360" s="26">
        <f t="shared" si="5"/>
        <v>860160</v>
      </c>
    </row>
    <row r="361" spans="1:11" ht="15">
      <c r="A361" s="166">
        <v>44552</v>
      </c>
      <c r="B361" s="279" t="s">
        <v>3956</v>
      </c>
      <c r="C361" s="168">
        <v>1893</v>
      </c>
      <c r="D361" s="28">
        <v>2256</v>
      </c>
      <c r="E361" s="115" t="s">
        <v>3935</v>
      </c>
      <c r="F361" s="29"/>
      <c r="G361" s="115" t="s">
        <v>78</v>
      </c>
      <c r="H361" s="15"/>
      <c r="I361" s="151">
        <v>1703936</v>
      </c>
      <c r="J361" s="26">
        <v>425984</v>
      </c>
      <c r="K361" s="26">
        <f t="shared" si="5"/>
        <v>1277952</v>
      </c>
    </row>
    <row r="362" spans="1:11" ht="15">
      <c r="A362" s="166">
        <v>44552</v>
      </c>
      <c r="B362" s="279" t="s">
        <v>3957</v>
      </c>
      <c r="C362" s="168">
        <v>1885</v>
      </c>
      <c r="D362" s="28">
        <v>2257</v>
      </c>
      <c r="E362" s="115" t="s">
        <v>3936</v>
      </c>
      <c r="F362" s="29"/>
      <c r="G362" s="115" t="s">
        <v>159</v>
      </c>
      <c r="H362" s="15"/>
      <c r="I362" s="151">
        <v>2129920</v>
      </c>
      <c r="J362" s="26">
        <v>851968</v>
      </c>
      <c r="K362" s="26">
        <f t="shared" si="5"/>
        <v>1277952</v>
      </c>
    </row>
    <row r="363" spans="1:11" ht="15">
      <c r="A363" s="166">
        <v>44552</v>
      </c>
      <c r="B363" s="279" t="s">
        <v>3958</v>
      </c>
      <c r="C363" s="168">
        <v>1886</v>
      </c>
      <c r="D363" s="28">
        <v>2258</v>
      </c>
      <c r="E363" s="115" t="s">
        <v>3937</v>
      </c>
      <c r="F363" s="29"/>
      <c r="G363" s="115" t="s">
        <v>87</v>
      </c>
      <c r="H363" s="15"/>
      <c r="I363" s="151">
        <v>1196218</v>
      </c>
      <c r="J363" s="26">
        <v>0</v>
      </c>
      <c r="K363" s="26">
        <f t="shared" si="5"/>
        <v>1196218</v>
      </c>
    </row>
    <row r="364" spans="1:11" ht="15">
      <c r="A364" s="166">
        <v>44552</v>
      </c>
      <c r="B364" s="279" t="s">
        <v>1117</v>
      </c>
      <c r="C364" s="168">
        <v>1888</v>
      </c>
      <c r="D364" s="28">
        <v>2259</v>
      </c>
      <c r="E364" s="115" t="s">
        <v>3938</v>
      </c>
      <c r="F364" s="29"/>
      <c r="G364" s="115" t="s">
        <v>1067</v>
      </c>
      <c r="H364" s="15"/>
      <c r="I364" s="151">
        <v>1146880</v>
      </c>
      <c r="J364" s="26">
        <v>0</v>
      </c>
      <c r="K364" s="26">
        <f t="shared" si="5"/>
        <v>1146880</v>
      </c>
    </row>
    <row r="365" spans="1:11" ht="15">
      <c r="A365" s="166">
        <v>44552</v>
      </c>
      <c r="B365" s="279" t="s">
        <v>3959</v>
      </c>
      <c r="C365" s="168">
        <v>1889</v>
      </c>
      <c r="D365" s="28">
        <v>2260</v>
      </c>
      <c r="E365" s="115" t="s">
        <v>3939</v>
      </c>
      <c r="F365" s="29"/>
      <c r="G365" s="115" t="s">
        <v>199</v>
      </c>
      <c r="H365" s="15"/>
      <c r="I365" s="151">
        <v>880640</v>
      </c>
      <c r="J365" s="26">
        <v>0</v>
      </c>
      <c r="K365" s="26">
        <f t="shared" si="5"/>
        <v>880640</v>
      </c>
    </row>
    <row r="366" spans="1:11" ht="15">
      <c r="A366" s="166">
        <v>44553</v>
      </c>
      <c r="B366" s="279" t="s">
        <v>3642</v>
      </c>
      <c r="C366" s="168">
        <v>1900</v>
      </c>
      <c r="D366" s="28">
        <v>2263</v>
      </c>
      <c r="E366" s="115" t="s">
        <v>3940</v>
      </c>
      <c r="F366" s="29"/>
      <c r="G366" s="115" t="s">
        <v>532</v>
      </c>
      <c r="H366" s="15"/>
      <c r="I366" s="151">
        <v>2000000</v>
      </c>
      <c r="J366" s="26">
        <v>1166667</v>
      </c>
      <c r="K366" s="26">
        <f t="shared" si="5"/>
        <v>833333</v>
      </c>
    </row>
    <row r="367" spans="1:11" ht="15">
      <c r="A367" s="166">
        <v>44557</v>
      </c>
      <c r="B367" s="279" t="s">
        <v>3960</v>
      </c>
      <c r="C367" s="168">
        <v>1884</v>
      </c>
      <c r="D367" s="28">
        <v>2276</v>
      </c>
      <c r="E367" s="115" t="s">
        <v>3941</v>
      </c>
      <c r="F367" s="29"/>
      <c r="G367" s="115" t="s">
        <v>237</v>
      </c>
      <c r="H367" s="15"/>
      <c r="I367" s="151">
        <v>2573653</v>
      </c>
      <c r="J367" s="26">
        <v>772096</v>
      </c>
      <c r="K367" s="26">
        <f t="shared" si="5"/>
        <v>1801557</v>
      </c>
    </row>
    <row r="368" spans="1:11" ht="15">
      <c r="A368" s="166">
        <v>44558</v>
      </c>
      <c r="B368" s="279" t="s">
        <v>3961</v>
      </c>
      <c r="C368" s="168">
        <v>1768</v>
      </c>
      <c r="D368" s="28">
        <v>2277</v>
      </c>
      <c r="E368" s="115" t="s">
        <v>3942</v>
      </c>
      <c r="F368" s="29"/>
      <c r="G368" s="115" t="s">
        <v>3915</v>
      </c>
      <c r="H368" s="15"/>
      <c r="I368" s="151">
        <v>68220342</v>
      </c>
      <c r="J368" s="26">
        <v>0</v>
      </c>
      <c r="K368" s="26">
        <f t="shared" si="5"/>
        <v>68220342</v>
      </c>
    </row>
    <row r="369" spans="1:11" ht="15">
      <c r="A369" s="166">
        <v>44559</v>
      </c>
      <c r="B369" s="279" t="s">
        <v>3962</v>
      </c>
      <c r="C369" s="168">
        <v>1755</v>
      </c>
      <c r="D369" s="28">
        <v>2279</v>
      </c>
      <c r="E369" s="115" t="s">
        <v>3943</v>
      </c>
      <c r="F369" s="29"/>
      <c r="G369" s="115" t="s">
        <v>1165</v>
      </c>
      <c r="H369" s="15"/>
      <c r="I369" s="151">
        <v>4298774</v>
      </c>
      <c r="J369" s="26">
        <v>4298774</v>
      </c>
      <c r="K369" s="26">
        <f t="shared" si="5"/>
        <v>0</v>
      </c>
    </row>
    <row r="370" spans="1:11" ht="15">
      <c r="A370" s="166">
        <v>44560</v>
      </c>
      <c r="B370" s="279" t="s">
        <v>3229</v>
      </c>
      <c r="C370" s="168">
        <v>1769</v>
      </c>
      <c r="D370" s="28">
        <v>2283</v>
      </c>
      <c r="E370" s="115" t="s">
        <v>3944</v>
      </c>
      <c r="F370" s="29"/>
      <c r="G370" s="115" t="s">
        <v>3916</v>
      </c>
      <c r="H370" s="15"/>
      <c r="I370" s="151">
        <v>536591989</v>
      </c>
      <c r="J370" s="26">
        <v>0</v>
      </c>
      <c r="K370" s="26">
        <f t="shared" si="5"/>
        <v>536591989</v>
      </c>
    </row>
    <row r="371" spans="1:11" ht="15">
      <c r="A371" s="166">
        <v>44561</v>
      </c>
      <c r="B371" s="279" t="s">
        <v>3963</v>
      </c>
      <c r="C371" s="168">
        <v>1901</v>
      </c>
      <c r="D371" s="28">
        <v>2285</v>
      </c>
      <c r="E371" s="115" t="s">
        <v>3945</v>
      </c>
      <c r="F371" s="29"/>
      <c r="G371" s="115" t="s">
        <v>166</v>
      </c>
      <c r="H371" s="15"/>
      <c r="I371" s="151">
        <v>426667</v>
      </c>
      <c r="J371" s="26">
        <v>0</v>
      </c>
      <c r="K371" s="26">
        <f t="shared" si="5"/>
        <v>426667</v>
      </c>
    </row>
    <row r="372" spans="1:11" ht="15">
      <c r="A372" s="166">
        <v>44561</v>
      </c>
      <c r="B372" s="279" t="s">
        <v>3167</v>
      </c>
      <c r="C372" s="168">
        <v>1910</v>
      </c>
      <c r="D372" s="28">
        <v>2288</v>
      </c>
      <c r="E372" s="115" t="s">
        <v>3946</v>
      </c>
      <c r="F372" s="29"/>
      <c r="G372" s="115" t="s">
        <v>3917</v>
      </c>
      <c r="H372" s="15"/>
      <c r="I372" s="151">
        <v>177682097</v>
      </c>
      <c r="J372" s="26">
        <v>0</v>
      </c>
      <c r="K372" s="26">
        <f t="shared" si="5"/>
        <v>177682097</v>
      </c>
    </row>
    <row r="373" spans="1:11" ht="15">
      <c r="A373" s="17"/>
      <c r="B373" s="18"/>
      <c r="C373" s="18"/>
      <c r="D373" s="18"/>
      <c r="E373" s="223"/>
      <c r="F373" s="18"/>
      <c r="G373" s="298" t="s">
        <v>19</v>
      </c>
      <c r="H373" s="299"/>
      <c r="I373" s="31">
        <f>SUM(I13:I372)</f>
        <v>29947082184</v>
      </c>
      <c r="J373" s="31">
        <f>SUM(J13:J372)</f>
        <v>22052733274</v>
      </c>
      <c r="K373" s="31">
        <f>SUM(K13:K372)</f>
        <v>7894348910</v>
      </c>
    </row>
    <row r="374" spans="1:11" ht="12.75" customHeight="1">
      <c r="A374" s="17"/>
      <c r="B374" s="18"/>
      <c r="C374" s="18"/>
      <c r="D374" s="18"/>
      <c r="E374" s="223"/>
      <c r="F374" s="22"/>
      <c r="G374" s="223"/>
      <c r="H374" s="18"/>
      <c r="I374" s="22"/>
      <c r="J374" s="22"/>
      <c r="K374" s="23"/>
    </row>
    <row r="375" spans="1:11" ht="24.95" customHeight="1">
      <c r="A375" s="76" t="s">
        <v>38</v>
      </c>
      <c r="B375" s="77" t="s">
        <v>40</v>
      </c>
      <c r="C375" s="76" t="s">
        <v>41</v>
      </c>
      <c r="D375" s="78" t="s">
        <v>39</v>
      </c>
      <c r="E375" s="232" t="s">
        <v>15</v>
      </c>
      <c r="F375" s="76" t="s">
        <v>34</v>
      </c>
      <c r="G375" s="232" t="s">
        <v>16</v>
      </c>
      <c r="H375" s="76" t="s">
        <v>22</v>
      </c>
      <c r="I375" s="76" t="s">
        <v>12</v>
      </c>
      <c r="J375" s="76" t="s">
        <v>23</v>
      </c>
      <c r="K375" s="76" t="s">
        <v>4</v>
      </c>
    </row>
    <row r="376" spans="1:11" ht="24.95" customHeight="1">
      <c r="A376" s="79">
        <v>34069707000</v>
      </c>
      <c r="B376" s="79">
        <v>-1000000000</v>
      </c>
      <c r="C376" s="79">
        <v>0</v>
      </c>
      <c r="D376" s="80">
        <f>+A376+B376-C376</f>
        <v>33069707000</v>
      </c>
      <c r="E376" s="233">
        <f>+I373</f>
        <v>29947082184</v>
      </c>
      <c r="F376" s="81">
        <f>+E376/D376</f>
        <v>0.90557446378342576</v>
      </c>
      <c r="G376" s="233">
        <f>+I10</f>
        <v>0</v>
      </c>
      <c r="H376" s="80">
        <f>+D376-E376-G376</f>
        <v>3122624816</v>
      </c>
      <c r="I376" s="80">
        <f>+J373</f>
        <v>22052733274</v>
      </c>
      <c r="J376" s="81">
        <f>+I376/D376</f>
        <v>0.66685602246188636</v>
      </c>
      <c r="K376" s="80">
        <f>+K373</f>
        <v>7894348910</v>
      </c>
    </row>
    <row r="377" spans="1:11" ht="15">
      <c r="A377" s="82">
        <v>1</v>
      </c>
      <c r="B377" s="82">
        <v>2</v>
      </c>
      <c r="C377" s="82">
        <v>3</v>
      </c>
      <c r="D377" s="82" t="s">
        <v>3</v>
      </c>
      <c r="E377" s="235">
        <v>5</v>
      </c>
      <c r="F377" s="82" t="s">
        <v>18</v>
      </c>
      <c r="G377" s="235">
        <v>7</v>
      </c>
      <c r="H377" s="82" t="s">
        <v>9</v>
      </c>
      <c r="I377" s="82">
        <v>9</v>
      </c>
      <c r="J377" s="82" t="s">
        <v>24</v>
      </c>
      <c r="K377" s="82" t="s">
        <v>25</v>
      </c>
    </row>
    <row r="379" spans="2:2" ht="15">
      <c r="B379" s="68"/>
    </row>
    <row r="380" spans="2:9" ht="15">
      <c r="B380" s="68"/>
      <c r="I380" s="68"/>
    </row>
    <row r="381" spans="2:2" ht="15">
      <c r="B381" s="68"/>
    </row>
  </sheetData>
  <mergeCells count="16">
    <mergeCell ref="J11:J12"/>
    <mergeCell ref="E12:F12"/>
    <mergeCell ref="G12:H12"/>
    <mergeCell ref="A3:J3"/>
    <mergeCell ref="A5:A6"/>
    <mergeCell ref="B5:B6"/>
    <mergeCell ref="D5:D6"/>
    <mergeCell ref="E5:H5"/>
    <mergeCell ref="I5:I6"/>
    <mergeCell ref="J5:K6"/>
    <mergeCell ref="E6:H6"/>
    <mergeCell ref="G373:H373"/>
    <mergeCell ref="G10:H10"/>
    <mergeCell ref="A11:A12"/>
    <mergeCell ref="E11:H11"/>
    <mergeCell ref="I11:I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K350"/>
  <sheetViews>
    <sheetView workbookViewId="0" topLeftCell="A1">
      <selection pane="topLeft" activeCell="A7" sqref="A7:XFD14"/>
    </sheetView>
  </sheetViews>
  <sheetFormatPr defaultColWidth="11.424285714285714" defaultRowHeight="15"/>
  <cols>
    <col min="1" max="1" width="15.142857142857142" style="3" customWidth="1"/>
    <col min="2" max="4" width="14.714285714285714" style="3" customWidth="1"/>
    <col min="5" max="5" width="15.714285714285714" style="236" customWidth="1"/>
    <col min="6" max="6" width="14.714285714285714" style="3" customWidth="1"/>
    <col min="7" max="7" width="15.714285714285714" style="236" customWidth="1"/>
    <col min="8" max="11" width="15.714285714285714" style="3" customWidth="1"/>
    <col min="12" max="16384" width="11.428571428571429" style="3"/>
  </cols>
  <sheetData>
    <row r="1" spans="1:11" ht="12.75" customHeight="1">
      <c r="A1" s="1" t="s">
        <v>35</v>
      </c>
      <c r="B1" s="1"/>
      <c r="C1" s="1"/>
      <c r="D1" s="1"/>
      <c r="E1" s="216"/>
      <c r="F1" s="1"/>
      <c r="G1" s="216"/>
      <c r="H1" s="2"/>
      <c r="I1" s="2"/>
      <c r="J1" s="2"/>
      <c r="K1" s="2"/>
    </row>
    <row r="2" spans="1:11" ht="12.75" customHeight="1">
      <c r="A2" s="2"/>
      <c r="B2" s="2"/>
      <c r="C2" s="2"/>
      <c r="D2" s="2"/>
      <c r="E2" s="216"/>
      <c r="F2" s="2"/>
      <c r="G2" s="216"/>
      <c r="H2" s="2"/>
      <c r="I2" s="2"/>
      <c r="J2" s="2"/>
      <c r="K2" s="72"/>
    </row>
    <row r="3" spans="1:11" ht="15" customHeight="1">
      <c r="A3" s="284" t="s">
        <v>302</v>
      </c>
      <c r="B3" s="284"/>
      <c r="C3" s="284"/>
      <c r="D3" s="284"/>
      <c r="E3" s="284"/>
      <c r="F3" s="284"/>
      <c r="G3" s="284"/>
      <c r="H3" s="284"/>
      <c r="I3" s="284"/>
      <c r="J3" s="284"/>
      <c r="K3" s="74" t="s">
        <v>3889</v>
      </c>
    </row>
    <row r="4" spans="1:11" ht="12.75" customHeight="1">
      <c r="A4" s="4"/>
      <c r="B4" s="4"/>
      <c r="C4" s="4"/>
      <c r="D4" s="4"/>
      <c r="E4" s="218"/>
      <c r="F4" s="4"/>
      <c r="G4" s="218"/>
      <c r="H4" s="4"/>
      <c r="I4" s="4"/>
      <c r="J4" s="4"/>
      <c r="K4" s="5"/>
    </row>
    <row r="5" spans="1:11" ht="15">
      <c r="A5" s="287" t="s">
        <v>5</v>
      </c>
      <c r="B5" s="303" t="s">
        <v>26</v>
      </c>
      <c r="C5" s="103"/>
      <c r="D5" s="287" t="s">
        <v>17</v>
      </c>
      <c r="E5" s="300" t="s">
        <v>16</v>
      </c>
      <c r="F5" s="301"/>
      <c r="G5" s="301"/>
      <c r="H5" s="302"/>
      <c r="I5" s="287" t="s">
        <v>7</v>
      </c>
      <c r="J5" s="294" t="s">
        <v>21</v>
      </c>
      <c r="K5" s="295"/>
    </row>
    <row r="6" spans="1:11" ht="15">
      <c r="A6" s="288"/>
      <c r="B6" s="304"/>
      <c r="C6" s="104"/>
      <c r="D6" s="288"/>
      <c r="E6" s="300" t="s">
        <v>2</v>
      </c>
      <c r="F6" s="301"/>
      <c r="G6" s="301"/>
      <c r="H6" s="302"/>
      <c r="I6" s="288"/>
      <c r="J6" s="296"/>
      <c r="K6" s="297"/>
    </row>
    <row r="7" spans="1:11" ht="15">
      <c r="A7" s="259"/>
      <c r="B7" s="260"/>
      <c r="C7" s="261"/>
      <c r="D7" s="262"/>
      <c r="E7" s="258"/>
      <c r="F7" s="274"/>
      <c r="G7" s="274"/>
      <c r="H7" s="275"/>
      <c r="I7" s="263"/>
      <c r="J7" s="213"/>
      <c r="K7" s="212"/>
    </row>
    <row r="8" spans="1:11" ht="15">
      <c r="A8" s="259"/>
      <c r="B8" s="260"/>
      <c r="C8" s="261"/>
      <c r="D8" s="262"/>
      <c r="E8" s="258"/>
      <c r="F8" s="274"/>
      <c r="G8" s="274"/>
      <c r="H8" s="275"/>
      <c r="I8" s="263"/>
      <c r="J8" s="213"/>
      <c r="K8" s="212"/>
    </row>
    <row r="9" spans="1:11" ht="15">
      <c r="A9" s="259"/>
      <c r="B9" s="260"/>
      <c r="C9" s="261"/>
      <c r="D9" s="262"/>
      <c r="E9" s="258"/>
      <c r="F9" s="274"/>
      <c r="G9" s="274"/>
      <c r="H9" s="275"/>
      <c r="I9" s="263"/>
      <c r="J9" s="213"/>
      <c r="K9" s="212"/>
    </row>
    <row r="10" spans="1:11" ht="15">
      <c r="A10" s="17"/>
      <c r="B10" s="18"/>
      <c r="C10" s="18"/>
      <c r="D10" s="18"/>
      <c r="E10" s="223"/>
      <c r="F10" s="18"/>
      <c r="G10" s="298" t="s">
        <v>19</v>
      </c>
      <c r="H10" s="299"/>
      <c r="I10" s="19">
        <f>SUM(I7:I9)</f>
        <v>0</v>
      </c>
      <c r="J10" s="20"/>
      <c r="K10" s="21"/>
    </row>
    <row r="11" spans="1:11" ht="15">
      <c r="A11" s="287" t="s">
        <v>5</v>
      </c>
      <c r="B11" s="32" t="s">
        <v>13</v>
      </c>
      <c r="C11" s="101" t="s">
        <v>20</v>
      </c>
      <c r="D11" s="24" t="s">
        <v>20</v>
      </c>
      <c r="E11" s="300" t="s">
        <v>15</v>
      </c>
      <c r="F11" s="301"/>
      <c r="G11" s="301"/>
      <c r="H11" s="302"/>
      <c r="I11" s="287" t="s">
        <v>7</v>
      </c>
      <c r="J11" s="287" t="s">
        <v>6</v>
      </c>
      <c r="K11" s="101" t="s">
        <v>0</v>
      </c>
    </row>
    <row r="12" spans="1:11" ht="15">
      <c r="A12" s="288"/>
      <c r="B12" s="102" t="s">
        <v>14</v>
      </c>
      <c r="C12" s="102" t="s">
        <v>11</v>
      </c>
      <c r="D12" s="102" t="s">
        <v>10</v>
      </c>
      <c r="E12" s="300" t="s">
        <v>2</v>
      </c>
      <c r="F12" s="302"/>
      <c r="G12" s="300" t="s">
        <v>8</v>
      </c>
      <c r="H12" s="302"/>
      <c r="I12" s="288"/>
      <c r="J12" s="288"/>
      <c r="K12" s="102" t="s">
        <v>1</v>
      </c>
    </row>
    <row r="13" spans="1:11" ht="12.75" customHeight="1">
      <c r="A13" s="25">
        <v>44203</v>
      </c>
      <c r="B13" s="107">
        <v>58</v>
      </c>
      <c r="C13" s="69">
        <v>128</v>
      </c>
      <c r="D13" s="69">
        <v>52</v>
      </c>
      <c r="E13" s="224" t="s">
        <v>570</v>
      </c>
      <c r="F13" s="145"/>
      <c r="G13" s="237" t="s">
        <v>569</v>
      </c>
      <c r="H13" s="145"/>
      <c r="I13" s="26">
        <f>87500000-66750000</f>
        <v>20750000</v>
      </c>
      <c r="J13" s="268">
        <v>20750000</v>
      </c>
      <c r="K13" s="100">
        <f>+I13-J13</f>
        <v>0</v>
      </c>
    </row>
    <row r="14" spans="1:11" ht="15">
      <c r="A14" s="25">
        <v>44204</v>
      </c>
      <c r="B14" s="28">
        <v>59</v>
      </c>
      <c r="C14" s="71">
        <v>139</v>
      </c>
      <c r="D14" s="71">
        <v>59</v>
      </c>
      <c r="E14" s="224" t="s">
        <v>571</v>
      </c>
      <c r="F14" s="146"/>
      <c r="G14" s="238" t="s">
        <v>317</v>
      </c>
      <c r="H14" s="148"/>
      <c r="I14" s="26">
        <v>15600000</v>
      </c>
      <c r="J14" s="268">
        <v>15600000</v>
      </c>
      <c r="K14" s="100">
        <f t="shared" si="0" ref="K14:K77">+I14-J14</f>
        <v>0</v>
      </c>
    </row>
    <row r="15" spans="1:11" ht="15">
      <c r="A15" s="27">
        <v>44204</v>
      </c>
      <c r="B15" s="28">
        <v>57</v>
      </c>
      <c r="C15" s="28">
        <v>138</v>
      </c>
      <c r="D15" s="28">
        <v>60</v>
      </c>
      <c r="E15" s="228" t="s">
        <v>572</v>
      </c>
      <c r="F15" s="146"/>
      <c r="G15" s="238" t="s">
        <v>112</v>
      </c>
      <c r="H15" s="150"/>
      <c r="I15" s="26">
        <v>87500000</v>
      </c>
      <c r="J15" s="268">
        <v>80750000</v>
      </c>
      <c r="K15" s="100">
        <f t="shared" si="0"/>
        <v>6750000</v>
      </c>
    </row>
    <row r="16" spans="1:11" ht="15">
      <c r="A16" s="27">
        <v>44208</v>
      </c>
      <c r="B16" s="28">
        <v>107</v>
      </c>
      <c r="C16" s="28">
        <v>187</v>
      </c>
      <c r="D16" s="28">
        <v>89</v>
      </c>
      <c r="E16" s="116" t="s">
        <v>573</v>
      </c>
      <c r="F16" s="146"/>
      <c r="G16" s="238" t="s">
        <v>397</v>
      </c>
      <c r="H16" s="150"/>
      <c r="I16" s="26">
        <v>15600000</v>
      </c>
      <c r="J16" s="268">
        <v>15600000</v>
      </c>
      <c r="K16" s="100">
        <f t="shared" si="0"/>
        <v>0</v>
      </c>
    </row>
    <row r="17" spans="1:11" ht="15">
      <c r="A17" s="27">
        <v>44208</v>
      </c>
      <c r="B17" s="28">
        <v>108</v>
      </c>
      <c r="C17" s="28">
        <v>177</v>
      </c>
      <c r="D17" s="28">
        <v>90</v>
      </c>
      <c r="E17" s="116" t="s">
        <v>573</v>
      </c>
      <c r="F17" s="146"/>
      <c r="G17" s="238" t="s">
        <v>398</v>
      </c>
      <c r="H17" s="150"/>
      <c r="I17" s="26">
        <v>15974400</v>
      </c>
      <c r="J17" s="268">
        <v>15974400</v>
      </c>
      <c r="K17" s="100">
        <f t="shared" si="0"/>
        <v>0</v>
      </c>
    </row>
    <row r="18" spans="1:11" ht="15">
      <c r="A18" s="27">
        <v>44208</v>
      </c>
      <c r="B18" s="28">
        <v>103</v>
      </c>
      <c r="C18" s="28">
        <v>178</v>
      </c>
      <c r="D18" s="28">
        <v>95</v>
      </c>
      <c r="E18" s="116" t="s">
        <v>574</v>
      </c>
      <c r="F18" s="146"/>
      <c r="G18" s="238" t="s">
        <v>110</v>
      </c>
      <c r="H18" s="150"/>
      <c r="I18" s="26">
        <v>25804800</v>
      </c>
      <c r="J18" s="268">
        <v>25804800</v>
      </c>
      <c r="K18" s="100">
        <f t="shared" si="0"/>
        <v>0</v>
      </c>
    </row>
    <row r="19" spans="1:11" ht="15">
      <c r="A19" s="27">
        <v>44208</v>
      </c>
      <c r="B19" s="28">
        <v>104</v>
      </c>
      <c r="C19" s="28">
        <v>185</v>
      </c>
      <c r="D19" s="28">
        <v>96</v>
      </c>
      <c r="E19" s="116" t="s">
        <v>575</v>
      </c>
      <c r="F19" s="146"/>
      <c r="G19" s="238" t="s">
        <v>400</v>
      </c>
      <c r="H19" s="150"/>
      <c r="I19" s="26">
        <v>15600000</v>
      </c>
      <c r="J19" s="268">
        <v>15600000</v>
      </c>
      <c r="K19" s="100">
        <f t="shared" si="0"/>
        <v>0</v>
      </c>
    </row>
    <row r="20" spans="1:11" ht="15">
      <c r="A20" s="27">
        <v>44208</v>
      </c>
      <c r="B20" s="28">
        <v>105</v>
      </c>
      <c r="C20" s="28">
        <v>183</v>
      </c>
      <c r="D20" s="28">
        <v>97</v>
      </c>
      <c r="E20" s="116" t="s">
        <v>576</v>
      </c>
      <c r="F20" s="146"/>
      <c r="G20" s="238" t="s">
        <v>318</v>
      </c>
      <c r="H20" s="150"/>
      <c r="I20" s="26">
        <v>40800000</v>
      </c>
      <c r="J20" s="268">
        <v>40800000</v>
      </c>
      <c r="K20" s="100">
        <f t="shared" si="0"/>
        <v>0</v>
      </c>
    </row>
    <row r="21" spans="1:11" ht="15">
      <c r="A21" s="27">
        <v>44208</v>
      </c>
      <c r="B21" s="28">
        <v>106</v>
      </c>
      <c r="C21" s="28">
        <v>186</v>
      </c>
      <c r="D21" s="28">
        <v>98</v>
      </c>
      <c r="E21" s="116" t="s">
        <v>577</v>
      </c>
      <c r="F21" s="146"/>
      <c r="G21" s="238" t="s">
        <v>408</v>
      </c>
      <c r="H21" s="150"/>
      <c r="I21" s="26">
        <v>25804800</v>
      </c>
      <c r="J21" s="268">
        <v>25804800</v>
      </c>
      <c r="K21" s="100">
        <f t="shared" si="0"/>
        <v>0</v>
      </c>
    </row>
    <row r="22" spans="1:11" ht="15">
      <c r="A22" s="27">
        <v>44208</v>
      </c>
      <c r="B22" s="28">
        <v>60</v>
      </c>
      <c r="C22" s="28">
        <v>129</v>
      </c>
      <c r="D22" s="28">
        <v>103</v>
      </c>
      <c r="E22" s="116" t="s">
        <v>578</v>
      </c>
      <c r="F22" s="146"/>
      <c r="G22" s="238" t="s">
        <v>179</v>
      </c>
      <c r="H22" s="150"/>
      <c r="I22" s="26">
        <v>25804800</v>
      </c>
      <c r="J22" s="268">
        <v>25804800</v>
      </c>
      <c r="K22" s="100">
        <f t="shared" si="0"/>
        <v>0</v>
      </c>
    </row>
    <row r="23" spans="1:11" ht="15">
      <c r="A23" s="27">
        <v>44209</v>
      </c>
      <c r="B23" s="28">
        <v>121</v>
      </c>
      <c r="C23" s="28">
        <v>188</v>
      </c>
      <c r="D23" s="28">
        <v>130</v>
      </c>
      <c r="E23" s="116" t="s">
        <v>579</v>
      </c>
      <c r="F23" s="146"/>
      <c r="G23" s="238" t="s">
        <v>217</v>
      </c>
      <c r="H23" s="150"/>
      <c r="I23" s="26">
        <v>15600000</v>
      </c>
      <c r="J23" s="268">
        <v>15600000</v>
      </c>
      <c r="K23" s="100">
        <f t="shared" si="0"/>
        <v>0</v>
      </c>
    </row>
    <row r="24" spans="1:11" ht="15">
      <c r="A24" s="27">
        <v>44211</v>
      </c>
      <c r="B24" s="28">
        <v>199</v>
      </c>
      <c r="C24" s="28">
        <v>278</v>
      </c>
      <c r="D24" s="28">
        <v>188</v>
      </c>
      <c r="E24" s="116" t="s">
        <v>580</v>
      </c>
      <c r="F24" s="146"/>
      <c r="G24" s="238" t="s">
        <v>208</v>
      </c>
      <c r="H24" s="150"/>
      <c r="I24" s="26">
        <f>15780000-12711666</f>
        <v>3068334</v>
      </c>
      <c r="J24" s="268">
        <v>3068334</v>
      </c>
      <c r="K24" s="100">
        <f t="shared" si="0"/>
        <v>0</v>
      </c>
    </row>
    <row r="25" spans="1:11" ht="15">
      <c r="A25" s="27">
        <v>44214</v>
      </c>
      <c r="B25" s="28">
        <v>201</v>
      </c>
      <c r="C25" s="28">
        <v>297</v>
      </c>
      <c r="D25" s="28">
        <v>217</v>
      </c>
      <c r="E25" s="116" t="s">
        <v>581</v>
      </c>
      <c r="F25" s="146"/>
      <c r="G25" s="238" t="s">
        <v>409</v>
      </c>
      <c r="H25" s="150"/>
      <c r="I25" s="26">
        <f>15780000-13676000</f>
        <v>2104000</v>
      </c>
      <c r="J25" s="268">
        <v>2104000</v>
      </c>
      <c r="K25" s="100">
        <f t="shared" si="0"/>
        <v>0</v>
      </c>
    </row>
    <row r="26" spans="1:11" ht="15">
      <c r="A26" s="27">
        <v>44214</v>
      </c>
      <c r="B26" s="28">
        <v>203</v>
      </c>
      <c r="C26" s="28">
        <v>289</v>
      </c>
      <c r="D26" s="28">
        <v>218</v>
      </c>
      <c r="E26" s="116" t="s">
        <v>573</v>
      </c>
      <c r="F26" s="146"/>
      <c r="G26" s="238" t="s">
        <v>384</v>
      </c>
      <c r="H26" s="150"/>
      <c r="I26" s="26">
        <v>15600000</v>
      </c>
      <c r="J26" s="268">
        <v>15600000</v>
      </c>
      <c r="K26" s="100">
        <f t="shared" si="0"/>
        <v>0</v>
      </c>
    </row>
    <row r="27" spans="1:11" ht="15">
      <c r="A27" s="27">
        <v>44217</v>
      </c>
      <c r="B27" s="28">
        <v>202</v>
      </c>
      <c r="C27" s="28">
        <v>290</v>
      </c>
      <c r="D27" s="28">
        <v>281</v>
      </c>
      <c r="E27" s="116" t="s">
        <v>573</v>
      </c>
      <c r="F27" s="146"/>
      <c r="G27" s="238" t="s">
        <v>216</v>
      </c>
      <c r="H27" s="150"/>
      <c r="I27" s="26">
        <f>15600000-13173333</f>
        <v>2426667</v>
      </c>
      <c r="J27" s="268">
        <v>2426667</v>
      </c>
      <c r="K27" s="100">
        <f t="shared" si="0"/>
        <v>0</v>
      </c>
    </row>
    <row r="28" spans="1:11" ht="15">
      <c r="A28" s="27">
        <v>44221</v>
      </c>
      <c r="B28" s="28">
        <v>288</v>
      </c>
      <c r="C28" s="28">
        <v>382</v>
      </c>
      <c r="D28" s="28">
        <v>325</v>
      </c>
      <c r="E28" s="116" t="s">
        <v>573</v>
      </c>
      <c r="F28" s="146"/>
      <c r="G28" s="238" t="s">
        <v>321</v>
      </c>
      <c r="H28" s="150"/>
      <c r="I28" s="26">
        <v>15600000</v>
      </c>
      <c r="J28" s="268">
        <v>15600000</v>
      </c>
      <c r="K28" s="100">
        <f t="shared" si="0"/>
        <v>0</v>
      </c>
    </row>
    <row r="29" spans="1:11" ht="15">
      <c r="A29" s="27">
        <v>44221</v>
      </c>
      <c r="B29" s="28">
        <v>306</v>
      </c>
      <c r="C29" s="28">
        <v>404</v>
      </c>
      <c r="D29" s="28">
        <v>327</v>
      </c>
      <c r="E29" s="116" t="s">
        <v>573</v>
      </c>
      <c r="F29" s="146"/>
      <c r="G29" s="238" t="s">
        <v>352</v>
      </c>
      <c r="H29" s="150"/>
      <c r="I29" s="26">
        <v>15600000</v>
      </c>
      <c r="J29" s="268">
        <v>15600000</v>
      </c>
      <c r="K29" s="100">
        <f t="shared" si="0"/>
        <v>0</v>
      </c>
    </row>
    <row r="30" spans="1:11" ht="15">
      <c r="A30" s="27">
        <v>44221</v>
      </c>
      <c r="B30" s="28">
        <v>212</v>
      </c>
      <c r="C30" s="28">
        <v>412</v>
      </c>
      <c r="D30" s="28">
        <v>330</v>
      </c>
      <c r="E30" s="116" t="s">
        <v>582</v>
      </c>
      <c r="F30" s="146"/>
      <c r="G30" s="238" t="s">
        <v>319</v>
      </c>
      <c r="H30" s="150"/>
      <c r="I30" s="26">
        <v>15600000</v>
      </c>
      <c r="J30" s="268">
        <v>15600000</v>
      </c>
      <c r="K30" s="100">
        <f t="shared" si="0"/>
        <v>0</v>
      </c>
    </row>
    <row r="31" spans="1:11" ht="15">
      <c r="A31" s="27">
        <v>44222</v>
      </c>
      <c r="B31" s="28">
        <v>328</v>
      </c>
      <c r="C31" s="28">
        <v>429</v>
      </c>
      <c r="D31" s="28">
        <v>350</v>
      </c>
      <c r="E31" s="116" t="s">
        <v>583</v>
      </c>
      <c r="F31" s="146"/>
      <c r="G31" s="238" t="s">
        <v>220</v>
      </c>
      <c r="H31" s="150"/>
      <c r="I31" s="26">
        <v>24000000</v>
      </c>
      <c r="J31" s="268">
        <v>24000000</v>
      </c>
      <c r="K31" s="100">
        <f t="shared" si="0"/>
        <v>0</v>
      </c>
    </row>
    <row r="32" spans="1:11" ht="15">
      <c r="A32" s="27">
        <v>44222</v>
      </c>
      <c r="B32" s="28">
        <v>341</v>
      </c>
      <c r="C32" s="28">
        <v>446</v>
      </c>
      <c r="D32" s="28">
        <v>351</v>
      </c>
      <c r="E32" s="116" t="s">
        <v>411</v>
      </c>
      <c r="F32" s="146"/>
      <c r="G32" s="238" t="s">
        <v>410</v>
      </c>
      <c r="H32" s="150"/>
      <c r="I32" s="26">
        <v>36864000</v>
      </c>
      <c r="J32" s="268">
        <v>36864000</v>
      </c>
      <c r="K32" s="100">
        <f t="shared" si="0"/>
        <v>0</v>
      </c>
    </row>
    <row r="33" spans="1:11" ht="15">
      <c r="A33" s="27">
        <v>44223</v>
      </c>
      <c r="B33" s="28">
        <v>292</v>
      </c>
      <c r="C33" s="28">
        <v>401</v>
      </c>
      <c r="D33" s="28">
        <v>365</v>
      </c>
      <c r="E33" s="116" t="s">
        <v>571</v>
      </c>
      <c r="F33" s="146"/>
      <c r="G33" s="238" t="s">
        <v>320</v>
      </c>
      <c r="H33" s="150"/>
      <c r="I33" s="26">
        <v>15600000</v>
      </c>
      <c r="J33" s="268">
        <v>15600000</v>
      </c>
      <c r="K33" s="100">
        <f t="shared" si="0"/>
        <v>0</v>
      </c>
    </row>
    <row r="34" spans="1:11" ht="15">
      <c r="A34" s="27">
        <v>44223</v>
      </c>
      <c r="B34" s="28">
        <v>347</v>
      </c>
      <c r="C34" s="28">
        <v>427</v>
      </c>
      <c r="D34" s="28">
        <v>366</v>
      </c>
      <c r="E34" s="228" t="s">
        <v>584</v>
      </c>
      <c r="F34" s="29"/>
      <c r="G34" s="238" t="s">
        <v>209</v>
      </c>
      <c r="H34" s="15"/>
      <c r="I34" s="26">
        <v>15600000</v>
      </c>
      <c r="J34" s="268">
        <v>5546667</v>
      </c>
      <c r="K34" s="100">
        <f t="shared" si="0"/>
        <v>10053333</v>
      </c>
    </row>
    <row r="35" spans="1:11" ht="15">
      <c r="A35" s="27">
        <v>44225</v>
      </c>
      <c r="B35" s="28">
        <v>380</v>
      </c>
      <c r="C35" s="28">
        <v>486</v>
      </c>
      <c r="D35" s="28">
        <v>398</v>
      </c>
      <c r="E35" s="228" t="s">
        <v>573</v>
      </c>
      <c r="F35" s="29"/>
      <c r="G35" s="238" t="s">
        <v>210</v>
      </c>
      <c r="H35" s="15"/>
      <c r="I35" s="26">
        <v>15600000</v>
      </c>
      <c r="J35" s="268">
        <v>15600000</v>
      </c>
      <c r="K35" s="100">
        <f t="shared" si="0"/>
        <v>0</v>
      </c>
    </row>
    <row r="36" spans="1:11" ht="15">
      <c r="A36" s="27">
        <v>44225</v>
      </c>
      <c r="B36" s="28">
        <v>396</v>
      </c>
      <c r="C36" s="28">
        <v>507</v>
      </c>
      <c r="D36" s="28">
        <v>409</v>
      </c>
      <c r="E36" s="228" t="s">
        <v>585</v>
      </c>
      <c r="F36" s="29"/>
      <c r="G36" s="238" t="s">
        <v>351</v>
      </c>
      <c r="H36" s="15"/>
      <c r="I36" s="26">
        <v>14745600</v>
      </c>
      <c r="J36" s="268">
        <v>14745600</v>
      </c>
      <c r="K36" s="100">
        <f t="shared" si="0"/>
        <v>0</v>
      </c>
    </row>
    <row r="37" spans="1:11" ht="15">
      <c r="A37" s="27">
        <v>44228</v>
      </c>
      <c r="B37" s="28" t="s">
        <v>1197</v>
      </c>
      <c r="C37" s="28" t="s">
        <v>1171</v>
      </c>
      <c r="D37" s="28" t="s">
        <v>1172</v>
      </c>
      <c r="E37" s="228" t="s">
        <v>1132</v>
      </c>
      <c r="F37" s="29"/>
      <c r="G37" s="238" t="s">
        <v>1146</v>
      </c>
      <c r="H37" s="15"/>
      <c r="I37" s="26">
        <v>21000000</v>
      </c>
      <c r="J37" s="268">
        <v>21000000</v>
      </c>
      <c r="K37" s="100">
        <f t="shared" si="0"/>
        <v>0</v>
      </c>
    </row>
    <row r="38" spans="1:11" ht="15">
      <c r="A38" s="27">
        <v>44228</v>
      </c>
      <c r="B38" s="28" t="s">
        <v>1198</v>
      </c>
      <c r="C38" s="28" t="s">
        <v>1173</v>
      </c>
      <c r="D38" s="28" t="s">
        <v>1174</v>
      </c>
      <c r="E38" s="228" t="s">
        <v>1133</v>
      </c>
      <c r="F38" s="29"/>
      <c r="G38" s="238" t="s">
        <v>1147</v>
      </c>
      <c r="H38" s="15"/>
      <c r="I38" s="26">
        <v>15600000</v>
      </c>
      <c r="J38" s="268">
        <v>15600000</v>
      </c>
      <c r="K38" s="100">
        <f t="shared" si="0"/>
        <v>0</v>
      </c>
    </row>
    <row r="39" spans="1:11" ht="15">
      <c r="A39" s="27">
        <v>44229</v>
      </c>
      <c r="B39" s="28" t="s">
        <v>1199</v>
      </c>
      <c r="C39" s="28" t="s">
        <v>991</v>
      </c>
      <c r="D39" s="28" t="s">
        <v>1175</v>
      </c>
      <c r="E39" s="228" t="s">
        <v>1134</v>
      </c>
      <c r="F39" s="29"/>
      <c r="G39" s="238" t="s">
        <v>1148</v>
      </c>
      <c r="H39" s="15"/>
      <c r="I39" s="26">
        <v>21000000</v>
      </c>
      <c r="J39" s="268">
        <v>21000000</v>
      </c>
      <c r="K39" s="100">
        <f t="shared" si="0"/>
        <v>0</v>
      </c>
    </row>
    <row r="40" spans="1:11" ht="15">
      <c r="A40" s="27">
        <v>44231</v>
      </c>
      <c r="B40" s="28" t="s">
        <v>1200</v>
      </c>
      <c r="C40" s="28" t="s">
        <v>1176</v>
      </c>
      <c r="D40" s="28" t="s">
        <v>1177</v>
      </c>
      <c r="E40" s="228" t="s">
        <v>829</v>
      </c>
      <c r="F40" s="29"/>
      <c r="G40" s="238" t="s">
        <v>1149</v>
      </c>
      <c r="H40" s="15"/>
      <c r="I40" s="26">
        <v>21000000</v>
      </c>
      <c r="J40" s="268">
        <v>21000000</v>
      </c>
      <c r="K40" s="100">
        <f t="shared" si="0"/>
        <v>0</v>
      </c>
    </row>
    <row r="41" spans="1:11" ht="15">
      <c r="A41" s="27">
        <v>44235</v>
      </c>
      <c r="B41" s="28" t="s">
        <v>1201</v>
      </c>
      <c r="C41" s="28" t="s">
        <v>1000</v>
      </c>
      <c r="D41" s="28" t="s">
        <v>1178</v>
      </c>
      <c r="E41" s="228" t="s">
        <v>576</v>
      </c>
      <c r="F41" s="29"/>
      <c r="G41" s="238" t="s">
        <v>1150</v>
      </c>
      <c r="H41" s="15"/>
      <c r="I41" s="26">
        <v>25800000</v>
      </c>
      <c r="J41" s="268">
        <v>25800000</v>
      </c>
      <c r="K41" s="100">
        <f t="shared" si="0"/>
        <v>0</v>
      </c>
    </row>
    <row r="42" spans="1:11" ht="15">
      <c r="A42" s="27">
        <v>44235</v>
      </c>
      <c r="B42" s="28" t="s">
        <v>1088</v>
      </c>
      <c r="C42" s="28" t="s">
        <v>926</v>
      </c>
      <c r="D42" s="28" t="s">
        <v>1173</v>
      </c>
      <c r="E42" s="228" t="s">
        <v>580</v>
      </c>
      <c r="F42" s="29"/>
      <c r="G42" s="238" t="s">
        <v>1151</v>
      </c>
      <c r="H42" s="15"/>
      <c r="I42" s="26">
        <v>15600000</v>
      </c>
      <c r="J42" s="268">
        <v>15600000</v>
      </c>
      <c r="K42" s="100">
        <f t="shared" si="0"/>
        <v>0</v>
      </c>
    </row>
    <row r="43" spans="1:11" ht="15">
      <c r="A43" s="27">
        <v>44235</v>
      </c>
      <c r="B43" s="28" t="s">
        <v>895</v>
      </c>
      <c r="C43" s="28" t="s">
        <v>1001</v>
      </c>
      <c r="D43" s="28" t="s">
        <v>1179</v>
      </c>
      <c r="E43" s="228" t="s">
        <v>1135</v>
      </c>
      <c r="F43" s="29"/>
      <c r="G43" s="238" t="s">
        <v>1152</v>
      </c>
      <c r="H43" s="15"/>
      <c r="I43" s="26">
        <v>7800000</v>
      </c>
      <c r="J43" s="268">
        <v>7800000</v>
      </c>
      <c r="K43" s="100">
        <f t="shared" si="0"/>
        <v>0</v>
      </c>
    </row>
    <row r="44" spans="1:11" ht="15">
      <c r="A44" s="27">
        <v>44236</v>
      </c>
      <c r="B44" s="28" t="s">
        <v>1202</v>
      </c>
      <c r="C44" s="28" t="s">
        <v>1180</v>
      </c>
      <c r="D44" s="28" t="s">
        <v>919</v>
      </c>
      <c r="E44" s="228" t="s">
        <v>576</v>
      </c>
      <c r="F44" s="29"/>
      <c r="G44" s="238" t="s">
        <v>1153</v>
      </c>
      <c r="H44" s="15"/>
      <c r="I44" s="26">
        <v>26166000</v>
      </c>
      <c r="J44" s="268">
        <v>26166000</v>
      </c>
      <c r="K44" s="100">
        <f t="shared" si="0"/>
        <v>0</v>
      </c>
    </row>
    <row r="45" spans="1:11" ht="15">
      <c r="A45" s="27">
        <v>44236</v>
      </c>
      <c r="B45" s="28" t="s">
        <v>1203</v>
      </c>
      <c r="C45" s="28" t="s">
        <v>939</v>
      </c>
      <c r="D45" s="28" t="s">
        <v>1128</v>
      </c>
      <c r="E45" s="228" t="s">
        <v>576</v>
      </c>
      <c r="F45" s="29"/>
      <c r="G45" s="238" t="s">
        <v>1154</v>
      </c>
      <c r="H45" s="15"/>
      <c r="I45" s="26">
        <v>26166000</v>
      </c>
      <c r="J45" s="268">
        <v>26166000</v>
      </c>
      <c r="K45" s="100">
        <f t="shared" si="0"/>
        <v>0</v>
      </c>
    </row>
    <row r="46" spans="1:11" ht="15">
      <c r="A46" s="27">
        <v>44236</v>
      </c>
      <c r="B46" s="28" t="s">
        <v>903</v>
      </c>
      <c r="C46" s="28" t="s">
        <v>1106</v>
      </c>
      <c r="D46" s="28" t="s">
        <v>1126</v>
      </c>
      <c r="E46" s="228" t="s">
        <v>573</v>
      </c>
      <c r="F46" s="29"/>
      <c r="G46" s="238" t="s">
        <v>1155</v>
      </c>
      <c r="H46" s="15"/>
      <c r="I46" s="26">
        <v>10902312</v>
      </c>
      <c r="J46" s="268">
        <v>10902312</v>
      </c>
      <c r="K46" s="100">
        <f t="shared" si="0"/>
        <v>0</v>
      </c>
    </row>
    <row r="47" spans="1:11" ht="15">
      <c r="A47" s="27">
        <v>44236</v>
      </c>
      <c r="B47" s="28" t="s">
        <v>1204</v>
      </c>
      <c r="C47" s="28" t="s">
        <v>992</v>
      </c>
      <c r="D47" s="28" t="s">
        <v>1181</v>
      </c>
      <c r="E47" s="228" t="s">
        <v>571</v>
      </c>
      <c r="F47" s="29"/>
      <c r="G47" s="238" t="s">
        <v>1156</v>
      </c>
      <c r="H47" s="15"/>
      <c r="I47" s="26">
        <v>15600000</v>
      </c>
      <c r="J47" s="268">
        <v>15600000</v>
      </c>
      <c r="K47" s="100">
        <f t="shared" si="0"/>
        <v>0</v>
      </c>
    </row>
    <row r="48" spans="1:11" ht="15">
      <c r="A48" s="27">
        <v>44236</v>
      </c>
      <c r="B48" s="28" t="s">
        <v>1205</v>
      </c>
      <c r="C48" s="28" t="s">
        <v>937</v>
      </c>
      <c r="D48" s="28" t="s">
        <v>887</v>
      </c>
      <c r="E48" s="228" t="s">
        <v>1136</v>
      </c>
      <c r="F48" s="29"/>
      <c r="G48" s="238" t="s">
        <v>1157</v>
      </c>
      <c r="H48" s="15"/>
      <c r="I48" s="26">
        <v>10200000</v>
      </c>
      <c r="J48" s="268">
        <v>10200000</v>
      </c>
      <c r="K48" s="100">
        <f t="shared" si="0"/>
        <v>0</v>
      </c>
    </row>
    <row r="49" spans="1:11" ht="15">
      <c r="A49" s="27">
        <v>44242</v>
      </c>
      <c r="B49" s="28" t="s">
        <v>887</v>
      </c>
      <c r="C49" s="28" t="s">
        <v>1182</v>
      </c>
      <c r="D49" s="28" t="s">
        <v>1183</v>
      </c>
      <c r="E49" s="228" t="s">
        <v>1137</v>
      </c>
      <c r="F49" s="29"/>
      <c r="G49" s="238" t="s">
        <v>1158</v>
      </c>
      <c r="H49" s="15"/>
      <c r="I49" s="26">
        <v>25800000</v>
      </c>
      <c r="J49" s="268">
        <v>25800000</v>
      </c>
      <c r="K49" s="100">
        <f t="shared" si="0"/>
        <v>0</v>
      </c>
    </row>
    <row r="50" spans="1:11" ht="15">
      <c r="A50" s="27">
        <v>44242</v>
      </c>
      <c r="B50" s="28" t="s">
        <v>442</v>
      </c>
      <c r="C50" s="28" t="s">
        <v>1184</v>
      </c>
      <c r="D50" s="28" t="s">
        <v>912</v>
      </c>
      <c r="E50" s="228" t="s">
        <v>576</v>
      </c>
      <c r="F50" s="29"/>
      <c r="G50" s="238" t="s">
        <v>1159</v>
      </c>
      <c r="H50" s="15"/>
      <c r="I50" s="26">
        <v>30720000</v>
      </c>
      <c r="J50" s="268">
        <v>30720000</v>
      </c>
      <c r="K50" s="100">
        <f t="shared" si="0"/>
        <v>0</v>
      </c>
    </row>
    <row r="51" spans="1:11" ht="15">
      <c r="A51" s="27">
        <v>44243</v>
      </c>
      <c r="B51" s="28" t="s">
        <v>913</v>
      </c>
      <c r="C51" s="28" t="s">
        <v>1185</v>
      </c>
      <c r="D51" s="28" t="s">
        <v>1186</v>
      </c>
      <c r="E51" s="228" t="s">
        <v>828</v>
      </c>
      <c r="F51" s="29"/>
      <c r="G51" s="238" t="s">
        <v>1160</v>
      </c>
      <c r="H51" s="15"/>
      <c r="I51" s="26">
        <v>21000000</v>
      </c>
      <c r="J51" s="268">
        <v>21000000</v>
      </c>
      <c r="K51" s="100">
        <f t="shared" si="0"/>
        <v>0</v>
      </c>
    </row>
    <row r="52" spans="1:11" ht="15">
      <c r="A52" s="27">
        <v>44243</v>
      </c>
      <c r="B52" s="28" t="s">
        <v>1206</v>
      </c>
      <c r="C52" s="28" t="s">
        <v>1131</v>
      </c>
      <c r="D52" s="28" t="s">
        <v>932</v>
      </c>
      <c r="E52" s="228" t="s">
        <v>1138</v>
      </c>
      <c r="F52" s="29"/>
      <c r="G52" s="238" t="s">
        <v>1161</v>
      </c>
      <c r="H52" s="15"/>
      <c r="I52" s="26">
        <v>48000000</v>
      </c>
      <c r="J52" s="268">
        <v>48000000</v>
      </c>
      <c r="K52" s="100">
        <f t="shared" si="0"/>
        <v>0</v>
      </c>
    </row>
    <row r="53" spans="1:11" ht="15">
      <c r="A53" s="27">
        <v>44244</v>
      </c>
      <c r="B53" s="28" t="s">
        <v>1207</v>
      </c>
      <c r="C53" s="28" t="s">
        <v>1114</v>
      </c>
      <c r="D53" s="28" t="s">
        <v>1096</v>
      </c>
      <c r="E53" s="228" t="s">
        <v>1139</v>
      </c>
      <c r="F53" s="29"/>
      <c r="G53" s="238" t="s">
        <v>1162</v>
      </c>
      <c r="H53" s="15"/>
      <c r="I53" s="26">
        <v>22800000</v>
      </c>
      <c r="J53" s="268">
        <v>22800000</v>
      </c>
      <c r="K53" s="100">
        <f t="shared" si="0"/>
        <v>0</v>
      </c>
    </row>
    <row r="54" spans="1:11" ht="15">
      <c r="A54" s="27">
        <v>44244</v>
      </c>
      <c r="B54" s="28" t="s">
        <v>1208</v>
      </c>
      <c r="C54" s="28" t="s">
        <v>1187</v>
      </c>
      <c r="D54" s="28" t="s">
        <v>923</v>
      </c>
      <c r="E54" s="228" t="s">
        <v>573</v>
      </c>
      <c r="F54" s="29"/>
      <c r="G54" s="238" t="s">
        <v>1163</v>
      </c>
      <c r="H54" s="15"/>
      <c r="I54" s="26">
        <v>15600000</v>
      </c>
      <c r="J54" s="268">
        <v>15600000</v>
      </c>
      <c r="K54" s="100">
        <f t="shared" si="0"/>
        <v>0</v>
      </c>
    </row>
    <row r="55" spans="1:11" ht="15">
      <c r="A55" s="27">
        <v>44244</v>
      </c>
      <c r="B55" s="28" t="s">
        <v>1209</v>
      </c>
      <c r="C55" s="28" t="s">
        <v>1188</v>
      </c>
      <c r="D55" s="28" t="s">
        <v>1098</v>
      </c>
      <c r="E55" s="228" t="s">
        <v>1140</v>
      </c>
      <c r="F55" s="29"/>
      <c r="G55" s="238" t="s">
        <v>1164</v>
      </c>
      <c r="H55" s="15"/>
      <c r="I55" s="26">
        <v>39896000</v>
      </c>
      <c r="J55" s="268">
        <v>39896000</v>
      </c>
      <c r="K55" s="100">
        <f t="shared" si="0"/>
        <v>0</v>
      </c>
    </row>
    <row r="56" spans="1:11" ht="15">
      <c r="A56" s="27">
        <v>44244</v>
      </c>
      <c r="B56" s="28" t="s">
        <v>1210</v>
      </c>
      <c r="C56" s="28" t="s">
        <v>1189</v>
      </c>
      <c r="D56" s="28" t="s">
        <v>934</v>
      </c>
      <c r="E56" s="228" t="s">
        <v>1141</v>
      </c>
      <c r="F56" s="29"/>
      <c r="G56" s="238" t="s">
        <v>1165</v>
      </c>
      <c r="H56" s="15"/>
      <c r="I56" s="26">
        <v>3054700</v>
      </c>
      <c r="J56" s="268">
        <v>3054700</v>
      </c>
      <c r="K56" s="100">
        <f t="shared" si="0"/>
        <v>0</v>
      </c>
    </row>
    <row r="57" spans="1:11" ht="15">
      <c r="A57" s="27">
        <v>44247</v>
      </c>
      <c r="B57" s="28" t="s">
        <v>1211</v>
      </c>
      <c r="C57" s="28" t="s">
        <v>1190</v>
      </c>
      <c r="D57" s="28" t="s">
        <v>1182</v>
      </c>
      <c r="E57" s="228" t="s">
        <v>1142</v>
      </c>
      <c r="F57" s="29"/>
      <c r="G57" s="238" t="s">
        <v>1166</v>
      </c>
      <c r="H57" s="15"/>
      <c r="I57" s="26">
        <v>15600000</v>
      </c>
      <c r="J57" s="268">
        <v>15600000</v>
      </c>
      <c r="K57" s="100">
        <f t="shared" si="0"/>
        <v>0</v>
      </c>
    </row>
    <row r="58" spans="1:11" ht="15">
      <c r="A58" s="27">
        <v>44247</v>
      </c>
      <c r="B58" s="28" t="s">
        <v>1092</v>
      </c>
      <c r="C58" s="28" t="s">
        <v>1191</v>
      </c>
      <c r="D58" s="28" t="s">
        <v>929</v>
      </c>
      <c r="E58" s="228" t="s">
        <v>1143</v>
      </c>
      <c r="F58" s="29"/>
      <c r="G58" s="238" t="s">
        <v>1167</v>
      </c>
      <c r="H58" s="15"/>
      <c r="I58" s="26">
        <v>70000000</v>
      </c>
      <c r="J58" s="268">
        <v>70000000</v>
      </c>
      <c r="K58" s="100">
        <f t="shared" si="0"/>
        <v>0</v>
      </c>
    </row>
    <row r="59" spans="1:11" ht="15">
      <c r="A59" s="27">
        <v>44247</v>
      </c>
      <c r="B59" s="28" t="s">
        <v>1212</v>
      </c>
      <c r="C59" s="28" t="s">
        <v>1192</v>
      </c>
      <c r="D59" s="28" t="s">
        <v>1193</v>
      </c>
      <c r="E59" s="228" t="s">
        <v>1144</v>
      </c>
      <c r="F59" s="29"/>
      <c r="G59" s="238" t="s">
        <v>1168</v>
      </c>
      <c r="H59" s="15"/>
      <c r="I59" s="26">
        <v>70000000</v>
      </c>
      <c r="J59" s="268">
        <v>65100000</v>
      </c>
      <c r="K59" s="100">
        <f t="shared" si="0"/>
        <v>4900000</v>
      </c>
    </row>
    <row r="60" spans="1:11" ht="15">
      <c r="A60" s="27">
        <v>44247</v>
      </c>
      <c r="B60" s="28" t="s">
        <v>1213</v>
      </c>
      <c r="C60" s="28" t="s">
        <v>1194</v>
      </c>
      <c r="D60" s="28" t="s">
        <v>1195</v>
      </c>
      <c r="E60" s="228" t="s">
        <v>1145</v>
      </c>
      <c r="F60" s="29"/>
      <c r="G60" s="238" t="s">
        <v>1169</v>
      </c>
      <c r="H60" s="15"/>
      <c r="I60" s="26">
        <v>15600000</v>
      </c>
      <c r="J60" s="268">
        <v>15600000</v>
      </c>
      <c r="K60" s="100">
        <f t="shared" si="0"/>
        <v>0</v>
      </c>
    </row>
    <row r="61" spans="1:11" ht="15">
      <c r="A61" s="27">
        <v>44251</v>
      </c>
      <c r="B61" s="28" t="s">
        <v>910</v>
      </c>
      <c r="C61" s="28" t="s">
        <v>1196</v>
      </c>
      <c r="D61" s="28" t="s">
        <v>942</v>
      </c>
      <c r="E61" s="228" t="s">
        <v>1138</v>
      </c>
      <c r="F61" s="29"/>
      <c r="G61" s="188" t="s">
        <v>1170</v>
      </c>
      <c r="H61" s="15"/>
      <c r="I61" s="26">
        <v>29926846</v>
      </c>
      <c r="J61" s="268">
        <v>29926846</v>
      </c>
      <c r="K61" s="100">
        <f t="shared" si="0"/>
        <v>0</v>
      </c>
    </row>
    <row r="62" spans="1:11" ht="15">
      <c r="A62" s="27">
        <v>44258</v>
      </c>
      <c r="B62" s="28" t="s">
        <v>935</v>
      </c>
      <c r="C62" s="28" t="s">
        <v>1492</v>
      </c>
      <c r="D62" s="28" t="s">
        <v>1574</v>
      </c>
      <c r="E62" s="228" t="s">
        <v>1608</v>
      </c>
      <c r="F62" s="29"/>
      <c r="G62" s="188" t="s">
        <v>1624</v>
      </c>
      <c r="H62" s="15"/>
      <c r="I62" s="26">
        <v>32768000</v>
      </c>
      <c r="J62" s="268">
        <v>32768000</v>
      </c>
      <c r="K62" s="100">
        <f t="shared" si="0"/>
        <v>0</v>
      </c>
    </row>
    <row r="63" spans="1:11" ht="15">
      <c r="A63" s="27">
        <v>44260</v>
      </c>
      <c r="B63" s="28" t="s">
        <v>1095</v>
      </c>
      <c r="C63" s="28" t="s">
        <v>1575</v>
      </c>
      <c r="D63" s="28" t="s">
        <v>1191</v>
      </c>
      <c r="E63" s="228" t="s">
        <v>1609</v>
      </c>
      <c r="F63" s="29"/>
      <c r="G63" s="188" t="s">
        <v>1625</v>
      </c>
      <c r="H63" s="15"/>
      <c r="I63" s="26">
        <v>30000000</v>
      </c>
      <c r="J63" s="268">
        <v>30000000</v>
      </c>
      <c r="K63" s="100">
        <f t="shared" si="0"/>
        <v>0</v>
      </c>
    </row>
    <row r="64" spans="1:11" ht="15">
      <c r="A64" s="27">
        <v>44263</v>
      </c>
      <c r="B64" s="28" t="s">
        <v>916</v>
      </c>
      <c r="C64" s="28" t="s">
        <v>1576</v>
      </c>
      <c r="D64" s="28" t="s">
        <v>1190</v>
      </c>
      <c r="E64" s="228" t="s">
        <v>1610</v>
      </c>
      <c r="F64" s="29"/>
      <c r="G64" s="188" t="s">
        <v>1626</v>
      </c>
      <c r="H64" s="15"/>
      <c r="I64" s="26">
        <v>38400000</v>
      </c>
      <c r="J64" s="268">
        <v>38400000</v>
      </c>
      <c r="K64" s="100">
        <f t="shared" si="0"/>
        <v>0</v>
      </c>
    </row>
    <row r="65" spans="1:11" ht="15">
      <c r="A65" s="27">
        <v>44265</v>
      </c>
      <c r="B65" s="28" t="s">
        <v>1651</v>
      </c>
      <c r="C65" s="28" t="s">
        <v>1189</v>
      </c>
      <c r="D65" s="28" t="s">
        <v>967</v>
      </c>
      <c r="E65" s="228" t="s">
        <v>1611</v>
      </c>
      <c r="F65" s="29"/>
      <c r="G65" s="188" t="s">
        <v>1165</v>
      </c>
      <c r="H65" s="15"/>
      <c r="I65" s="26">
        <v>5355000</v>
      </c>
      <c r="J65" s="268">
        <v>5355000</v>
      </c>
      <c r="K65" s="100">
        <f t="shared" si="0"/>
        <v>0</v>
      </c>
    </row>
    <row r="66" spans="1:11" ht="15">
      <c r="A66" s="27">
        <v>44266</v>
      </c>
      <c r="B66" s="28" t="s">
        <v>945</v>
      </c>
      <c r="C66" s="28" t="s">
        <v>1577</v>
      </c>
      <c r="D66" s="28" t="s">
        <v>1483</v>
      </c>
      <c r="E66" s="228" t="s">
        <v>1612</v>
      </c>
      <c r="F66" s="29"/>
      <c r="G66" s="188" t="s">
        <v>1627</v>
      </c>
      <c r="H66" s="15"/>
      <c r="I66" s="26">
        <v>15600000</v>
      </c>
      <c r="J66" s="268">
        <v>15600000</v>
      </c>
      <c r="K66" s="100">
        <f t="shared" si="0"/>
        <v>0</v>
      </c>
    </row>
    <row r="67" spans="1:11" ht="15">
      <c r="A67" s="27">
        <v>44270</v>
      </c>
      <c r="B67" s="28" t="s">
        <v>1395</v>
      </c>
      <c r="C67" s="28" t="s">
        <v>1578</v>
      </c>
      <c r="D67" s="28" t="s">
        <v>1579</v>
      </c>
      <c r="E67" s="228" t="s">
        <v>1613</v>
      </c>
      <c r="F67" s="29"/>
      <c r="G67" s="188" t="s">
        <v>1628</v>
      </c>
      <c r="H67" s="15"/>
      <c r="I67" s="26">
        <v>15600000</v>
      </c>
      <c r="J67" s="268">
        <v>15600000</v>
      </c>
      <c r="K67" s="100">
        <f t="shared" si="0"/>
        <v>0</v>
      </c>
    </row>
    <row r="68" spans="1:11" ht="15">
      <c r="A68" s="27">
        <v>44270</v>
      </c>
      <c r="B68" s="28" t="s">
        <v>1100</v>
      </c>
      <c r="C68" s="28" t="s">
        <v>1580</v>
      </c>
      <c r="D68" s="28" t="s">
        <v>1581</v>
      </c>
      <c r="E68" s="228" t="s">
        <v>1614</v>
      </c>
      <c r="F68" s="29"/>
      <c r="G68" s="188" t="s">
        <v>1629</v>
      </c>
      <c r="H68" s="15"/>
      <c r="I68" s="26">
        <v>7800000</v>
      </c>
      <c r="J68" s="268">
        <v>7800000</v>
      </c>
      <c r="K68" s="100">
        <f t="shared" si="0"/>
        <v>0</v>
      </c>
    </row>
    <row r="69" spans="1:11" ht="15">
      <c r="A69" s="27">
        <v>44270</v>
      </c>
      <c r="B69" s="28" t="s">
        <v>956</v>
      </c>
      <c r="C69" s="28" t="s">
        <v>1501</v>
      </c>
      <c r="D69" s="28" t="s">
        <v>1487</v>
      </c>
      <c r="E69" s="228" t="s">
        <v>1614</v>
      </c>
      <c r="F69" s="29"/>
      <c r="G69" s="188" t="s">
        <v>1630</v>
      </c>
      <c r="H69" s="15"/>
      <c r="I69" s="26">
        <v>15600000</v>
      </c>
      <c r="J69" s="268">
        <v>15600000</v>
      </c>
      <c r="K69" s="100">
        <f t="shared" si="0"/>
        <v>0</v>
      </c>
    </row>
    <row r="70" spans="1:11" ht="15">
      <c r="A70" s="27">
        <v>44270</v>
      </c>
      <c r="B70" s="28" t="s">
        <v>1393</v>
      </c>
      <c r="C70" s="28" t="s">
        <v>1582</v>
      </c>
      <c r="D70" s="28" t="s">
        <v>1576</v>
      </c>
      <c r="E70" s="228" t="s">
        <v>1614</v>
      </c>
      <c r="F70" s="29"/>
      <c r="G70" s="188" t="s">
        <v>1631</v>
      </c>
      <c r="H70" s="15"/>
      <c r="I70" s="26">
        <v>15600000</v>
      </c>
      <c r="J70" s="268">
        <v>15600000</v>
      </c>
      <c r="K70" s="100">
        <f t="shared" si="0"/>
        <v>0</v>
      </c>
    </row>
    <row r="71" spans="1:11" ht="15">
      <c r="A71" s="27">
        <v>44270</v>
      </c>
      <c r="B71" s="28" t="s">
        <v>950</v>
      </c>
      <c r="C71" s="28" t="s">
        <v>1583</v>
      </c>
      <c r="D71" s="28" t="s">
        <v>1584</v>
      </c>
      <c r="E71" s="228" t="s">
        <v>1615</v>
      </c>
      <c r="F71" s="29"/>
      <c r="G71" s="188" t="s">
        <v>1632</v>
      </c>
      <c r="H71" s="15"/>
      <c r="I71" s="26">
        <v>490000000</v>
      </c>
      <c r="J71" s="268">
        <v>490000000</v>
      </c>
      <c r="K71" s="100">
        <f t="shared" si="0"/>
        <v>0</v>
      </c>
    </row>
    <row r="72" spans="1:11" ht="15">
      <c r="A72" s="27">
        <v>44270</v>
      </c>
      <c r="B72" s="28" t="s">
        <v>1111</v>
      </c>
      <c r="C72" s="28" t="s">
        <v>1500</v>
      </c>
      <c r="D72" s="28" t="s">
        <v>1585</v>
      </c>
      <c r="E72" s="228" t="s">
        <v>1616</v>
      </c>
      <c r="F72" s="29"/>
      <c r="G72" s="188" t="s">
        <v>1633</v>
      </c>
      <c r="H72" s="15"/>
      <c r="I72" s="26">
        <v>15600000</v>
      </c>
      <c r="J72" s="268">
        <v>15600000</v>
      </c>
      <c r="K72" s="100">
        <f t="shared" si="0"/>
        <v>0</v>
      </c>
    </row>
    <row r="73" spans="1:11" ht="15">
      <c r="A73" s="27">
        <v>44270</v>
      </c>
      <c r="B73" s="28" t="s">
        <v>952</v>
      </c>
      <c r="C73" s="28" t="s">
        <v>1586</v>
      </c>
      <c r="D73" s="28" t="s">
        <v>1587</v>
      </c>
      <c r="E73" s="228" t="s">
        <v>1612</v>
      </c>
      <c r="F73" s="29"/>
      <c r="G73" s="188" t="s">
        <v>1634</v>
      </c>
      <c r="H73" s="15"/>
      <c r="I73" s="26">
        <v>15600000</v>
      </c>
      <c r="J73" s="268">
        <v>15600000</v>
      </c>
      <c r="K73" s="100">
        <f t="shared" si="0"/>
        <v>0</v>
      </c>
    </row>
    <row r="74" spans="1:11" ht="15">
      <c r="A74" s="27">
        <v>44270</v>
      </c>
      <c r="B74" s="28" t="s">
        <v>955</v>
      </c>
      <c r="C74" s="28" t="s">
        <v>1556</v>
      </c>
      <c r="D74" s="28" t="s">
        <v>1588</v>
      </c>
      <c r="E74" s="228" t="s">
        <v>1614</v>
      </c>
      <c r="F74" s="29"/>
      <c r="G74" s="188" t="s">
        <v>1635</v>
      </c>
      <c r="H74" s="15"/>
      <c r="I74" s="26">
        <f>15600000-9013333</f>
        <v>6586667</v>
      </c>
      <c r="J74" s="268">
        <v>6586667</v>
      </c>
      <c r="K74" s="100">
        <f t="shared" si="0"/>
        <v>0</v>
      </c>
    </row>
    <row r="75" spans="1:11" ht="15">
      <c r="A75" s="27">
        <v>44270</v>
      </c>
      <c r="B75" s="28" t="s">
        <v>931</v>
      </c>
      <c r="C75" s="28" t="s">
        <v>1553</v>
      </c>
      <c r="D75" s="28" t="s">
        <v>1589</v>
      </c>
      <c r="E75" s="228" t="s">
        <v>1617</v>
      </c>
      <c r="F75" s="29"/>
      <c r="G75" s="188" t="s">
        <v>1636</v>
      </c>
      <c r="H75" s="15"/>
      <c r="I75" s="26">
        <v>15600000</v>
      </c>
      <c r="J75" s="268">
        <v>15600000</v>
      </c>
      <c r="K75" s="100">
        <f t="shared" si="0"/>
        <v>0</v>
      </c>
    </row>
    <row r="76" spans="1:11" ht="15">
      <c r="A76" s="27">
        <v>44271</v>
      </c>
      <c r="B76" s="28" t="s">
        <v>1456</v>
      </c>
      <c r="C76" s="28" t="s">
        <v>1499</v>
      </c>
      <c r="D76" s="28" t="s">
        <v>1493</v>
      </c>
      <c r="E76" s="228" t="s">
        <v>1618</v>
      </c>
      <c r="F76" s="29"/>
      <c r="G76" s="188" t="s">
        <v>1637</v>
      </c>
      <c r="H76" s="15"/>
      <c r="I76" s="26">
        <v>15600000</v>
      </c>
      <c r="J76" s="268">
        <v>15600000</v>
      </c>
      <c r="K76" s="100">
        <f t="shared" si="0"/>
        <v>0</v>
      </c>
    </row>
    <row r="77" spans="1:11" ht="15">
      <c r="A77" s="27">
        <v>44271</v>
      </c>
      <c r="B77" s="28" t="s">
        <v>1184</v>
      </c>
      <c r="C77" s="28" t="s">
        <v>461</v>
      </c>
      <c r="D77" s="28" t="s">
        <v>1577</v>
      </c>
      <c r="E77" s="228" t="s">
        <v>1617</v>
      </c>
      <c r="F77" s="29"/>
      <c r="G77" s="188" t="s">
        <v>1638</v>
      </c>
      <c r="H77" s="15"/>
      <c r="I77" s="26">
        <v>15600000</v>
      </c>
      <c r="J77" s="268">
        <v>15600000</v>
      </c>
      <c r="K77" s="100">
        <f t="shared" si="0"/>
        <v>0</v>
      </c>
    </row>
    <row r="78" spans="1:11" ht="15">
      <c r="A78" s="27">
        <v>44272</v>
      </c>
      <c r="B78" s="28" t="s">
        <v>954</v>
      </c>
      <c r="C78" s="28" t="s">
        <v>1590</v>
      </c>
      <c r="D78" s="28" t="s">
        <v>1591</v>
      </c>
      <c r="E78" s="228" t="s">
        <v>1618</v>
      </c>
      <c r="F78" s="29"/>
      <c r="G78" s="188" t="s">
        <v>1639</v>
      </c>
      <c r="H78" s="15"/>
      <c r="I78" s="26">
        <v>15600000</v>
      </c>
      <c r="J78" s="268">
        <v>15600000</v>
      </c>
      <c r="K78" s="100">
        <f t="shared" si="1" ref="K78:K211">+I78-J78</f>
        <v>0</v>
      </c>
    </row>
    <row r="79" spans="1:11" ht="15">
      <c r="A79" s="27">
        <v>44273</v>
      </c>
      <c r="B79" s="28" t="s">
        <v>961</v>
      </c>
      <c r="C79" s="28" t="s">
        <v>1592</v>
      </c>
      <c r="D79" s="28" t="s">
        <v>1593</v>
      </c>
      <c r="E79" s="228" t="s">
        <v>1619</v>
      </c>
      <c r="F79" s="29"/>
      <c r="G79" s="188" t="s">
        <v>1640</v>
      </c>
      <c r="H79" s="15"/>
      <c r="I79" s="26">
        <v>15600000</v>
      </c>
      <c r="J79" s="268">
        <v>15600000</v>
      </c>
      <c r="K79" s="100">
        <f t="shared" si="1"/>
        <v>0</v>
      </c>
    </row>
    <row r="80" spans="1:11" ht="15">
      <c r="A80" s="27">
        <v>44273</v>
      </c>
      <c r="B80" s="28" t="s">
        <v>1195</v>
      </c>
      <c r="C80" s="28" t="s">
        <v>1594</v>
      </c>
      <c r="D80" s="28" t="s">
        <v>1595</v>
      </c>
      <c r="E80" s="228" t="s">
        <v>1620</v>
      </c>
      <c r="F80" s="29"/>
      <c r="G80" s="188" t="s">
        <v>1641</v>
      </c>
      <c r="H80" s="15"/>
      <c r="I80" s="26">
        <v>15600000</v>
      </c>
      <c r="J80" s="268">
        <v>15600000</v>
      </c>
      <c r="K80" s="100">
        <f t="shared" si="1"/>
        <v>0</v>
      </c>
    </row>
    <row r="81" spans="1:11" ht="15">
      <c r="A81" s="27">
        <v>44278</v>
      </c>
      <c r="B81" s="28" t="s">
        <v>963</v>
      </c>
      <c r="C81" s="28" t="s">
        <v>1596</v>
      </c>
      <c r="D81" s="28" t="s">
        <v>1583</v>
      </c>
      <c r="E81" s="228" t="s">
        <v>1612</v>
      </c>
      <c r="F81" s="29"/>
      <c r="G81" s="188" t="s">
        <v>1642</v>
      </c>
      <c r="H81" s="15"/>
      <c r="I81" s="26">
        <v>15600000</v>
      </c>
      <c r="J81" s="268">
        <v>15600000</v>
      </c>
      <c r="K81" s="100">
        <f t="shared" si="1"/>
        <v>0</v>
      </c>
    </row>
    <row r="82" spans="1:11" ht="15">
      <c r="A82" s="27">
        <v>44279</v>
      </c>
      <c r="B82" s="28" t="s">
        <v>944</v>
      </c>
      <c r="C82" s="28" t="s">
        <v>1597</v>
      </c>
      <c r="D82" s="28" t="s">
        <v>1541</v>
      </c>
      <c r="E82" s="228" t="s">
        <v>1621</v>
      </c>
      <c r="F82" s="29"/>
      <c r="G82" s="188" t="s">
        <v>1643</v>
      </c>
      <c r="H82" s="15"/>
      <c r="I82" s="26">
        <v>26166000</v>
      </c>
      <c r="J82" s="268">
        <v>26166000</v>
      </c>
      <c r="K82" s="100">
        <f t="shared" si="1"/>
        <v>0</v>
      </c>
    </row>
    <row r="83" spans="1:11" ht="15">
      <c r="A83" s="27">
        <v>44280</v>
      </c>
      <c r="B83" s="28" t="s">
        <v>929</v>
      </c>
      <c r="C83" s="28" t="s">
        <v>1503</v>
      </c>
      <c r="D83" s="28" t="s">
        <v>1544</v>
      </c>
      <c r="E83" s="228" t="s">
        <v>1612</v>
      </c>
      <c r="F83" s="29"/>
      <c r="G83" s="188" t="s">
        <v>1644</v>
      </c>
      <c r="H83" s="15"/>
      <c r="I83" s="26">
        <v>15600000</v>
      </c>
      <c r="J83" s="268">
        <v>15600000</v>
      </c>
      <c r="K83" s="100">
        <f t="shared" si="1"/>
        <v>0</v>
      </c>
    </row>
    <row r="84" spans="1:11" ht="15">
      <c r="A84" s="27">
        <v>44284</v>
      </c>
      <c r="B84" s="28" t="s">
        <v>453</v>
      </c>
      <c r="C84" s="28" t="s">
        <v>1598</v>
      </c>
      <c r="D84" s="28" t="s">
        <v>1599</v>
      </c>
      <c r="E84" s="228" t="s">
        <v>1622</v>
      </c>
      <c r="F84" s="29"/>
      <c r="G84" s="188" t="s">
        <v>1645</v>
      </c>
      <c r="H84" s="15"/>
      <c r="I84" s="26">
        <v>55296000</v>
      </c>
      <c r="J84" s="268">
        <v>53043200</v>
      </c>
      <c r="K84" s="100">
        <f t="shared" si="1"/>
        <v>2252800</v>
      </c>
    </row>
    <row r="85" spans="1:11" ht="15">
      <c r="A85" s="27">
        <v>44285</v>
      </c>
      <c r="B85" s="28" t="s">
        <v>965</v>
      </c>
      <c r="C85" s="28" t="s">
        <v>1502</v>
      </c>
      <c r="D85" s="28" t="s">
        <v>1600</v>
      </c>
      <c r="E85" s="228" t="s">
        <v>1620</v>
      </c>
      <c r="F85" s="29"/>
      <c r="G85" s="188" t="s">
        <v>1646</v>
      </c>
      <c r="H85" s="15"/>
      <c r="I85" s="26">
        <v>15600000</v>
      </c>
      <c r="J85" s="26">
        <v>15600000</v>
      </c>
      <c r="K85" s="100">
        <f t="shared" si="1"/>
        <v>0</v>
      </c>
    </row>
    <row r="86" spans="1:11" ht="15">
      <c r="A86" s="27">
        <v>44285</v>
      </c>
      <c r="B86" s="28" t="s">
        <v>1392</v>
      </c>
      <c r="C86" s="28" t="s">
        <v>1601</v>
      </c>
      <c r="D86" s="28" t="s">
        <v>1580</v>
      </c>
      <c r="E86" s="228" t="s">
        <v>1617</v>
      </c>
      <c r="F86" s="29"/>
      <c r="G86" s="188" t="s">
        <v>1647</v>
      </c>
      <c r="H86" s="15"/>
      <c r="I86" s="26">
        <v>15600000</v>
      </c>
      <c r="J86" s="26">
        <v>15600000</v>
      </c>
      <c r="K86" s="100">
        <f t="shared" si="1"/>
        <v>0</v>
      </c>
    </row>
    <row r="87" spans="1:11" ht="15">
      <c r="A87" s="27">
        <v>44286</v>
      </c>
      <c r="B87" s="28" t="s">
        <v>1652</v>
      </c>
      <c r="C87" s="28" t="s">
        <v>1602</v>
      </c>
      <c r="D87" s="28" t="s">
        <v>1603</v>
      </c>
      <c r="E87" s="228" t="s">
        <v>1623</v>
      </c>
      <c r="F87" s="29"/>
      <c r="G87" s="188" t="s">
        <v>1648</v>
      </c>
      <c r="H87" s="15"/>
      <c r="I87" s="26">
        <v>15808350</v>
      </c>
      <c r="J87" s="26">
        <v>15808350</v>
      </c>
      <c r="K87" s="100">
        <f t="shared" si="1"/>
        <v>0</v>
      </c>
    </row>
    <row r="88" spans="1:11" ht="15">
      <c r="A88" s="27">
        <v>44286</v>
      </c>
      <c r="B88" s="28" t="s">
        <v>1485</v>
      </c>
      <c r="C88" s="28" t="s">
        <v>1604</v>
      </c>
      <c r="D88" s="28" t="s">
        <v>1605</v>
      </c>
      <c r="E88" s="228" t="s">
        <v>1623</v>
      </c>
      <c r="F88" s="29"/>
      <c r="G88" s="188" t="s">
        <v>1649</v>
      </c>
      <c r="H88" s="15"/>
      <c r="I88" s="26">
        <v>15808352</v>
      </c>
      <c r="J88" s="26">
        <v>15808352</v>
      </c>
      <c r="K88" s="100">
        <f t="shared" si="1"/>
        <v>0</v>
      </c>
    </row>
    <row r="89" spans="1:11" ht="15">
      <c r="A89" s="27">
        <v>44286</v>
      </c>
      <c r="B89" s="28" t="s">
        <v>1187</v>
      </c>
      <c r="C89" s="28" t="s">
        <v>1606</v>
      </c>
      <c r="D89" s="28" t="s">
        <v>1607</v>
      </c>
      <c r="E89" s="228" t="s">
        <v>1623</v>
      </c>
      <c r="F89" s="29"/>
      <c r="G89" s="188" t="s">
        <v>1650</v>
      </c>
      <c r="H89" s="15"/>
      <c r="I89" s="26">
        <v>15808352</v>
      </c>
      <c r="J89" s="26">
        <v>15808352</v>
      </c>
      <c r="K89" s="100">
        <f t="shared" si="1"/>
        <v>0</v>
      </c>
    </row>
    <row r="90" spans="1:11" ht="15">
      <c r="A90" s="27">
        <v>44291</v>
      </c>
      <c r="B90" s="28" t="s">
        <v>1237</v>
      </c>
      <c r="C90" s="28" t="s">
        <v>1787</v>
      </c>
      <c r="D90" s="28" t="s">
        <v>1850</v>
      </c>
      <c r="E90" s="228" t="s">
        <v>1859</v>
      </c>
      <c r="F90" s="29"/>
      <c r="G90" s="188" t="s">
        <v>1869</v>
      </c>
      <c r="H90" s="15"/>
      <c r="I90" s="26">
        <v>15808352</v>
      </c>
      <c r="J90" s="268">
        <v>15808352</v>
      </c>
      <c r="K90" s="100">
        <f t="shared" si="1"/>
        <v>0</v>
      </c>
    </row>
    <row r="91" spans="1:11" ht="15">
      <c r="A91" s="27">
        <v>44292</v>
      </c>
      <c r="B91" s="28" t="s">
        <v>1110</v>
      </c>
      <c r="C91" s="28" t="s">
        <v>1720</v>
      </c>
      <c r="D91" s="28" t="s">
        <v>1548</v>
      </c>
      <c r="E91" s="228" t="s">
        <v>1860</v>
      </c>
      <c r="F91" s="29"/>
      <c r="G91" s="188" t="s">
        <v>1870</v>
      </c>
      <c r="H91" s="15"/>
      <c r="I91" s="26">
        <v>15808352</v>
      </c>
      <c r="J91" s="268">
        <v>15281405</v>
      </c>
      <c r="K91" s="100">
        <f t="shared" si="1"/>
        <v>526947</v>
      </c>
    </row>
    <row r="92" spans="1:11" ht="15">
      <c r="A92" s="27">
        <v>44292</v>
      </c>
      <c r="B92" s="28" t="s">
        <v>1112</v>
      </c>
      <c r="C92" s="28" t="s">
        <v>1718</v>
      </c>
      <c r="D92" s="28" t="s">
        <v>1554</v>
      </c>
      <c r="E92" s="228" t="s">
        <v>1860</v>
      </c>
      <c r="F92" s="29"/>
      <c r="G92" s="188" t="s">
        <v>1871</v>
      </c>
      <c r="H92" s="15"/>
      <c r="I92" s="26">
        <v>15808352</v>
      </c>
      <c r="J92" s="268">
        <v>15808352</v>
      </c>
      <c r="K92" s="100">
        <f t="shared" si="1"/>
        <v>0</v>
      </c>
    </row>
    <row r="93" spans="1:11" ht="15">
      <c r="A93" s="27">
        <v>44294</v>
      </c>
      <c r="B93" s="28" t="s">
        <v>1858</v>
      </c>
      <c r="C93" s="28" t="s">
        <v>1189</v>
      </c>
      <c r="D93" s="28" t="s">
        <v>1851</v>
      </c>
      <c r="E93" s="228" t="s">
        <v>1861</v>
      </c>
      <c r="F93" s="29"/>
      <c r="G93" s="238" t="s">
        <v>1165</v>
      </c>
      <c r="H93" s="15"/>
      <c r="I93" s="26">
        <v>105800</v>
      </c>
      <c r="J93" s="26">
        <v>105800</v>
      </c>
      <c r="K93" s="100">
        <f t="shared" si="1"/>
        <v>0</v>
      </c>
    </row>
    <row r="94" spans="1:11" ht="15">
      <c r="A94" s="27">
        <v>44295</v>
      </c>
      <c r="B94" s="28" t="s">
        <v>1844</v>
      </c>
      <c r="C94" s="28" t="s">
        <v>1189</v>
      </c>
      <c r="D94" s="28" t="s">
        <v>1676</v>
      </c>
      <c r="E94" s="228" t="s">
        <v>1862</v>
      </c>
      <c r="F94" s="29"/>
      <c r="G94" s="238" t="s">
        <v>1165</v>
      </c>
      <c r="H94" s="15"/>
      <c r="I94" s="26">
        <v>6725394</v>
      </c>
      <c r="J94" s="26">
        <v>6725394</v>
      </c>
      <c r="K94" s="100">
        <f t="shared" si="1"/>
        <v>0</v>
      </c>
    </row>
    <row r="95" spans="1:11" ht="15">
      <c r="A95" s="27">
        <v>44295</v>
      </c>
      <c r="B95" s="28" t="s">
        <v>964</v>
      </c>
      <c r="C95" s="28" t="s">
        <v>1852</v>
      </c>
      <c r="D95" s="28" t="s">
        <v>1602</v>
      </c>
      <c r="E95" s="228" t="s">
        <v>1863</v>
      </c>
      <c r="F95" s="29"/>
      <c r="G95" s="238" t="s">
        <v>1872</v>
      </c>
      <c r="H95" s="15"/>
      <c r="I95" s="26">
        <v>15600000</v>
      </c>
      <c r="J95" s="26">
        <v>15600000</v>
      </c>
      <c r="K95" s="100">
        <f t="shared" si="1"/>
        <v>0</v>
      </c>
    </row>
    <row r="96" spans="1:11" ht="15">
      <c r="A96" s="27">
        <v>44295</v>
      </c>
      <c r="B96" s="28" t="s">
        <v>1458</v>
      </c>
      <c r="C96" s="28" t="s">
        <v>1785</v>
      </c>
      <c r="D96" s="28" t="s">
        <v>1853</v>
      </c>
      <c r="E96" s="228" t="s">
        <v>1864</v>
      </c>
      <c r="F96" s="29"/>
      <c r="G96" s="238" t="s">
        <v>1873</v>
      </c>
      <c r="H96" s="15"/>
      <c r="I96" s="26">
        <v>15600000</v>
      </c>
      <c r="J96" s="26">
        <v>15600000</v>
      </c>
      <c r="K96" s="100">
        <f t="shared" si="1"/>
        <v>0</v>
      </c>
    </row>
    <row r="97" spans="1:11" ht="15">
      <c r="A97" s="27">
        <v>44299</v>
      </c>
      <c r="B97" s="28" t="s">
        <v>1238</v>
      </c>
      <c r="C97" s="28" t="s">
        <v>1854</v>
      </c>
      <c r="D97" s="28" t="s">
        <v>1852</v>
      </c>
      <c r="E97" s="228" t="s">
        <v>1865</v>
      </c>
      <c r="F97" s="29"/>
      <c r="G97" s="238" t="s">
        <v>1874</v>
      </c>
      <c r="H97" s="15"/>
      <c r="I97" s="26">
        <v>21000000</v>
      </c>
      <c r="J97" s="26">
        <v>21000000</v>
      </c>
      <c r="K97" s="100">
        <f t="shared" si="1"/>
        <v>0</v>
      </c>
    </row>
    <row r="98" spans="1:11" ht="15">
      <c r="A98" s="27">
        <v>44308</v>
      </c>
      <c r="B98" s="28" t="s">
        <v>1484</v>
      </c>
      <c r="C98" s="28" t="s">
        <v>1855</v>
      </c>
      <c r="D98" s="28" t="s">
        <v>1792</v>
      </c>
      <c r="E98" s="228" t="s">
        <v>1866</v>
      </c>
      <c r="F98" s="29"/>
      <c r="G98" s="238" t="s">
        <v>1875</v>
      </c>
      <c r="H98" s="15"/>
      <c r="I98" s="26">
        <v>60400000</v>
      </c>
      <c r="J98" s="26">
        <v>34478334</v>
      </c>
      <c r="K98" s="100">
        <f t="shared" si="1"/>
        <v>25921666</v>
      </c>
    </row>
    <row r="99" spans="1:11" ht="15">
      <c r="A99" s="27">
        <v>44309</v>
      </c>
      <c r="B99" s="28" t="s">
        <v>1581</v>
      </c>
      <c r="C99" s="28" t="s">
        <v>1730</v>
      </c>
      <c r="D99" s="28" t="s">
        <v>1731</v>
      </c>
      <c r="E99" s="228" t="s">
        <v>1773</v>
      </c>
      <c r="F99" s="29"/>
      <c r="G99" s="238" t="s">
        <v>1758</v>
      </c>
      <c r="H99" s="15"/>
      <c r="I99" s="26">
        <v>280400000</v>
      </c>
      <c r="J99" s="26">
        <v>84238876</v>
      </c>
      <c r="K99" s="100">
        <f t="shared" si="1"/>
        <v>196161124</v>
      </c>
    </row>
    <row r="100" spans="1:11" ht="15">
      <c r="A100" s="27">
        <v>44316</v>
      </c>
      <c r="B100" s="28" t="s">
        <v>1495</v>
      </c>
      <c r="C100" s="28" t="s">
        <v>1808</v>
      </c>
      <c r="D100" s="28" t="s">
        <v>1856</v>
      </c>
      <c r="E100" s="228" t="s">
        <v>1867</v>
      </c>
      <c r="F100" s="29"/>
      <c r="G100" s="238" t="s">
        <v>145</v>
      </c>
      <c r="H100" s="15"/>
      <c r="I100" s="26">
        <v>20234240</v>
      </c>
      <c r="J100" s="26">
        <v>16950614</v>
      </c>
      <c r="K100" s="100">
        <f t="shared" si="1"/>
        <v>3283626</v>
      </c>
    </row>
    <row r="101" spans="1:11" ht="15">
      <c r="A101" s="27">
        <v>44316</v>
      </c>
      <c r="B101" s="28" t="s">
        <v>1547</v>
      </c>
      <c r="C101" s="28" t="s">
        <v>1857</v>
      </c>
      <c r="D101" s="28" t="s">
        <v>1857</v>
      </c>
      <c r="E101" s="228" t="s">
        <v>1868</v>
      </c>
      <c r="F101" s="29"/>
      <c r="G101" s="238" t="s">
        <v>141</v>
      </c>
      <c r="H101" s="15"/>
      <c r="I101" s="26">
        <v>15564800</v>
      </c>
      <c r="J101" s="26">
        <v>15564800</v>
      </c>
      <c r="K101" s="100">
        <f t="shared" si="1"/>
        <v>0</v>
      </c>
    </row>
    <row r="102" spans="1:11" ht="15">
      <c r="A102" s="27">
        <v>44319</v>
      </c>
      <c r="B102" s="28" t="s">
        <v>1490</v>
      </c>
      <c r="C102" s="28" t="s">
        <v>1738</v>
      </c>
      <c r="D102" s="28" t="s">
        <v>2089</v>
      </c>
      <c r="E102" s="228" t="s">
        <v>1868</v>
      </c>
      <c r="F102" s="29"/>
      <c r="G102" s="238" t="s">
        <v>155</v>
      </c>
      <c r="H102" s="15"/>
      <c r="I102" s="26">
        <v>15564800</v>
      </c>
      <c r="J102" s="26">
        <v>15564800</v>
      </c>
      <c r="K102" s="100">
        <f t="shared" si="1"/>
        <v>0</v>
      </c>
    </row>
    <row r="103" spans="1:11" ht="15">
      <c r="A103" s="27">
        <v>44319</v>
      </c>
      <c r="B103" s="28" t="s">
        <v>1671</v>
      </c>
      <c r="C103" s="28" t="s">
        <v>2090</v>
      </c>
      <c r="D103" s="28" t="s">
        <v>1880</v>
      </c>
      <c r="E103" s="228" t="s">
        <v>1868</v>
      </c>
      <c r="F103" s="29"/>
      <c r="G103" s="238" t="s">
        <v>144</v>
      </c>
      <c r="H103" s="15"/>
      <c r="I103" s="26">
        <v>15564800</v>
      </c>
      <c r="J103" s="26">
        <v>15564800</v>
      </c>
      <c r="K103" s="100">
        <f t="shared" si="1"/>
        <v>0</v>
      </c>
    </row>
    <row r="104" spans="1:11" ht="15">
      <c r="A104" s="27">
        <v>44319</v>
      </c>
      <c r="B104" s="28" t="s">
        <v>1673</v>
      </c>
      <c r="C104" s="28" t="s">
        <v>2091</v>
      </c>
      <c r="D104" s="28" t="s">
        <v>2092</v>
      </c>
      <c r="E104" s="228" t="s">
        <v>1868</v>
      </c>
      <c r="F104" s="29"/>
      <c r="G104" s="238" t="s">
        <v>191</v>
      </c>
      <c r="H104" s="15"/>
      <c r="I104" s="26">
        <v>15564800</v>
      </c>
      <c r="J104" s="26">
        <v>15564800</v>
      </c>
      <c r="K104" s="100">
        <f t="shared" si="1"/>
        <v>0</v>
      </c>
    </row>
    <row r="105" spans="1:11" ht="15">
      <c r="A105" s="27">
        <v>44322</v>
      </c>
      <c r="B105" s="28" t="s">
        <v>1491</v>
      </c>
      <c r="C105" s="28" t="s">
        <v>1801</v>
      </c>
      <c r="D105" s="28" t="s">
        <v>1994</v>
      </c>
      <c r="E105" s="228" t="s">
        <v>2138</v>
      </c>
      <c r="F105" s="29"/>
      <c r="G105" s="238" t="s">
        <v>2073</v>
      </c>
      <c r="H105" s="15"/>
      <c r="I105" s="26">
        <v>21000000</v>
      </c>
      <c r="J105" s="26">
        <v>21000000</v>
      </c>
      <c r="K105" s="100">
        <f t="shared" si="1"/>
        <v>0</v>
      </c>
    </row>
    <row r="106" spans="1:11" ht="15">
      <c r="A106" s="27">
        <v>44322</v>
      </c>
      <c r="B106" s="28" t="s">
        <v>1675</v>
      </c>
      <c r="C106" s="28" t="s">
        <v>1924</v>
      </c>
      <c r="D106" s="28" t="s">
        <v>2093</v>
      </c>
      <c r="E106" s="228" t="s">
        <v>2067</v>
      </c>
      <c r="F106" s="29"/>
      <c r="G106" s="238" t="s">
        <v>1330</v>
      </c>
      <c r="H106" s="15"/>
      <c r="I106" s="26">
        <v>15018667</v>
      </c>
      <c r="J106" s="26">
        <v>15018667</v>
      </c>
      <c r="K106" s="100">
        <f t="shared" si="1"/>
        <v>0</v>
      </c>
    </row>
    <row r="107" spans="1:11" ht="15">
      <c r="A107" s="27">
        <v>44323</v>
      </c>
      <c r="B107" s="28" t="s">
        <v>1603</v>
      </c>
      <c r="C107" s="28" t="s">
        <v>1932</v>
      </c>
      <c r="D107" s="28" t="s">
        <v>2006</v>
      </c>
      <c r="E107" s="228" t="s">
        <v>2139</v>
      </c>
      <c r="F107" s="29"/>
      <c r="G107" s="238" t="s">
        <v>374</v>
      </c>
      <c r="H107" s="15"/>
      <c r="I107" s="26">
        <v>47000000</v>
      </c>
      <c r="J107" s="26">
        <v>4800000</v>
      </c>
      <c r="K107" s="100">
        <f t="shared" si="1"/>
        <v>42200000</v>
      </c>
    </row>
    <row r="108" spans="1:11" ht="15">
      <c r="A108" s="27">
        <v>44326</v>
      </c>
      <c r="B108" s="28" t="s">
        <v>1502</v>
      </c>
      <c r="C108" s="28" t="s">
        <v>1796</v>
      </c>
      <c r="D108" s="28" t="s">
        <v>2011</v>
      </c>
      <c r="E108" s="228" t="s">
        <v>2063</v>
      </c>
      <c r="F108" s="29"/>
      <c r="G108" s="238" t="s">
        <v>2053</v>
      </c>
      <c r="H108" s="15"/>
      <c r="I108" s="26">
        <v>276466512</v>
      </c>
      <c r="J108" s="26">
        <v>276466512</v>
      </c>
      <c r="K108" s="100">
        <f t="shared" si="1"/>
        <v>0</v>
      </c>
    </row>
    <row r="109" spans="1:11" ht="15">
      <c r="A109" s="27">
        <v>44327</v>
      </c>
      <c r="B109" s="28" t="s">
        <v>1597</v>
      </c>
      <c r="C109" s="28" t="s">
        <v>2094</v>
      </c>
      <c r="D109" s="28" t="s">
        <v>2095</v>
      </c>
      <c r="E109" s="228" t="s">
        <v>2140</v>
      </c>
      <c r="F109" s="29"/>
      <c r="G109" s="238" t="s">
        <v>399</v>
      </c>
      <c r="H109" s="15"/>
      <c r="I109" s="26">
        <f>38239854-24939035</f>
        <v>13300819</v>
      </c>
      <c r="J109" s="26">
        <v>13300819</v>
      </c>
      <c r="K109" s="100">
        <f t="shared" si="1"/>
        <v>0</v>
      </c>
    </row>
    <row r="110" spans="1:11" ht="15">
      <c r="A110" s="27">
        <v>44327</v>
      </c>
      <c r="B110" s="28" t="s">
        <v>2070</v>
      </c>
      <c r="C110" s="28" t="s">
        <v>1189</v>
      </c>
      <c r="D110" s="28" t="s">
        <v>2020</v>
      </c>
      <c r="E110" s="228" t="s">
        <v>2064</v>
      </c>
      <c r="F110" s="29"/>
      <c r="G110" s="238" t="s">
        <v>1165</v>
      </c>
      <c r="H110" s="15"/>
      <c r="I110" s="26">
        <v>7351114</v>
      </c>
      <c r="J110" s="26">
        <v>7351114</v>
      </c>
      <c r="K110" s="100">
        <f t="shared" si="1"/>
        <v>0</v>
      </c>
    </row>
    <row r="111" spans="1:11" ht="15">
      <c r="A111" s="27">
        <v>44327</v>
      </c>
      <c r="B111" s="28" t="s">
        <v>2131</v>
      </c>
      <c r="C111" s="28" t="s">
        <v>1189</v>
      </c>
      <c r="D111" s="28" t="s">
        <v>2096</v>
      </c>
      <c r="E111" s="228" t="s">
        <v>2141</v>
      </c>
      <c r="F111" s="29"/>
      <c r="G111" s="238" t="s">
        <v>1165</v>
      </c>
      <c r="H111" s="15"/>
      <c r="I111" s="26">
        <v>72400</v>
      </c>
      <c r="J111" s="26">
        <v>72400</v>
      </c>
      <c r="K111" s="100">
        <f t="shared" si="1"/>
        <v>0</v>
      </c>
    </row>
    <row r="112" spans="1:11" ht="15">
      <c r="A112" s="27">
        <v>44327</v>
      </c>
      <c r="B112" s="28" t="s">
        <v>2132</v>
      </c>
      <c r="C112" s="28" t="s">
        <v>1189</v>
      </c>
      <c r="D112" s="28" t="s">
        <v>1933</v>
      </c>
      <c r="E112" s="228" t="s">
        <v>2142</v>
      </c>
      <c r="F112" s="29"/>
      <c r="G112" s="238" t="s">
        <v>1165</v>
      </c>
      <c r="H112" s="15"/>
      <c r="I112" s="26">
        <v>72400</v>
      </c>
      <c r="J112" s="26">
        <v>72400</v>
      </c>
      <c r="K112" s="100">
        <f t="shared" si="1"/>
        <v>0</v>
      </c>
    </row>
    <row r="113" spans="1:11" ht="15">
      <c r="A113" s="27">
        <v>44327</v>
      </c>
      <c r="B113" s="28" t="s">
        <v>1701</v>
      </c>
      <c r="C113" s="28" t="s">
        <v>2095</v>
      </c>
      <c r="D113" s="28" t="s">
        <v>1923</v>
      </c>
      <c r="E113" s="228" t="s">
        <v>2067</v>
      </c>
      <c r="F113" s="29"/>
      <c r="G113" s="238" t="s">
        <v>226</v>
      </c>
      <c r="H113" s="15"/>
      <c r="I113" s="26">
        <v>14677333</v>
      </c>
      <c r="J113" s="26">
        <v>14677333</v>
      </c>
      <c r="K113" s="100">
        <f t="shared" si="1"/>
        <v>0</v>
      </c>
    </row>
    <row r="114" spans="1:11" ht="15">
      <c r="A114" s="27">
        <v>44327</v>
      </c>
      <c r="B114" s="28" t="s">
        <v>1554</v>
      </c>
      <c r="C114" s="28" t="s">
        <v>1397</v>
      </c>
      <c r="D114" s="28" t="s">
        <v>1931</v>
      </c>
      <c r="E114" s="228" t="s">
        <v>1966</v>
      </c>
      <c r="F114" s="29"/>
      <c r="G114" s="238" t="s">
        <v>1979</v>
      </c>
      <c r="H114" s="15"/>
      <c r="I114" s="26">
        <v>300000000</v>
      </c>
      <c r="J114" s="26">
        <v>299881939</v>
      </c>
      <c r="K114" s="100">
        <f t="shared" si="1"/>
        <v>118061</v>
      </c>
    </row>
    <row r="115" spans="1:11" ht="15">
      <c r="A115" s="27">
        <v>44328</v>
      </c>
      <c r="B115" s="28" t="s">
        <v>1496</v>
      </c>
      <c r="C115" s="28" t="s">
        <v>2097</v>
      </c>
      <c r="D115" s="28" t="s">
        <v>2097</v>
      </c>
      <c r="E115" s="228" t="s">
        <v>2143</v>
      </c>
      <c r="F115" s="29"/>
      <c r="G115" s="238" t="s">
        <v>2074</v>
      </c>
      <c r="H115" s="15"/>
      <c r="I115" s="26">
        <v>15808352</v>
      </c>
      <c r="J115" s="26">
        <v>15808352</v>
      </c>
      <c r="K115" s="100">
        <f t="shared" si="1"/>
        <v>0</v>
      </c>
    </row>
    <row r="116" spans="1:11" ht="15">
      <c r="A116" s="27">
        <v>44329</v>
      </c>
      <c r="B116" s="28" t="s">
        <v>1676</v>
      </c>
      <c r="C116" s="28" t="s">
        <v>2016</v>
      </c>
      <c r="D116" s="28" t="s">
        <v>2008</v>
      </c>
      <c r="E116" s="228" t="s">
        <v>2067</v>
      </c>
      <c r="F116" s="29"/>
      <c r="G116" s="238" t="s">
        <v>1345</v>
      </c>
      <c r="H116" s="15"/>
      <c r="I116" s="26">
        <v>15086933</v>
      </c>
      <c r="J116" s="26">
        <v>15086933</v>
      </c>
      <c r="K116" s="100">
        <f t="shared" si="1"/>
        <v>0</v>
      </c>
    </row>
    <row r="117" spans="1:11" ht="15">
      <c r="A117" s="27">
        <v>44329</v>
      </c>
      <c r="B117" s="28" t="s">
        <v>1851</v>
      </c>
      <c r="C117" s="28" t="s">
        <v>2024</v>
      </c>
      <c r="D117" s="28" t="s">
        <v>2098</v>
      </c>
      <c r="E117" s="228" t="s">
        <v>2067</v>
      </c>
      <c r="F117" s="29"/>
      <c r="G117" s="238" t="s">
        <v>1343</v>
      </c>
      <c r="H117" s="15"/>
      <c r="I117" s="26">
        <v>14609067</v>
      </c>
      <c r="J117" s="26">
        <v>14609067</v>
      </c>
      <c r="K117" s="100">
        <f t="shared" si="1"/>
        <v>0</v>
      </c>
    </row>
    <row r="118" spans="1:11" ht="15">
      <c r="A118" s="27">
        <v>44329</v>
      </c>
      <c r="B118" s="28" t="s">
        <v>1714</v>
      </c>
      <c r="C118" s="28" t="s">
        <v>2096</v>
      </c>
      <c r="D118" s="28" t="s">
        <v>2099</v>
      </c>
      <c r="E118" s="228" t="s">
        <v>2067</v>
      </c>
      <c r="F118" s="29"/>
      <c r="G118" s="238" t="s">
        <v>1346</v>
      </c>
      <c r="H118" s="15"/>
      <c r="I118" s="26">
        <v>14745600</v>
      </c>
      <c r="J118" s="26">
        <v>2730666</v>
      </c>
      <c r="K118" s="100">
        <f t="shared" si="1"/>
        <v>12014934</v>
      </c>
    </row>
    <row r="119" spans="1:11" ht="15">
      <c r="A119" s="27">
        <v>44330</v>
      </c>
      <c r="B119" s="28" t="s">
        <v>1552</v>
      </c>
      <c r="C119" s="28" t="s">
        <v>2023</v>
      </c>
      <c r="D119" s="28" t="s">
        <v>2100</v>
      </c>
      <c r="E119" s="228" t="s">
        <v>2067</v>
      </c>
      <c r="F119" s="29"/>
      <c r="G119" s="238" t="s">
        <v>229</v>
      </c>
      <c r="H119" s="15"/>
      <c r="I119" s="26">
        <v>15018667</v>
      </c>
      <c r="J119" s="26">
        <v>15018667</v>
      </c>
      <c r="K119" s="100">
        <f t="shared" si="1"/>
        <v>0</v>
      </c>
    </row>
    <row r="120" spans="1:11" ht="15">
      <c r="A120" s="27">
        <v>44330</v>
      </c>
      <c r="B120" s="28" t="s">
        <v>1498</v>
      </c>
      <c r="C120" s="28" t="s">
        <v>2101</v>
      </c>
      <c r="D120" s="28" t="s">
        <v>2102</v>
      </c>
      <c r="E120" s="228" t="s">
        <v>2067</v>
      </c>
      <c r="F120" s="29"/>
      <c r="G120" s="238" t="s">
        <v>1357</v>
      </c>
      <c r="H120" s="15"/>
      <c r="I120" s="26">
        <v>14336000</v>
      </c>
      <c r="J120" s="26">
        <v>14336000</v>
      </c>
      <c r="K120" s="100">
        <f t="shared" si="1"/>
        <v>0</v>
      </c>
    </row>
    <row r="121" spans="1:11" ht="15">
      <c r="A121" s="27">
        <v>44334</v>
      </c>
      <c r="B121" s="28" t="s">
        <v>1720</v>
      </c>
      <c r="C121" s="28" t="s">
        <v>2103</v>
      </c>
      <c r="D121" s="28" t="s">
        <v>2104</v>
      </c>
      <c r="E121" s="228" t="s">
        <v>2144</v>
      </c>
      <c r="F121" s="29"/>
      <c r="G121" s="238" t="s">
        <v>2075</v>
      </c>
      <c r="H121" s="15"/>
      <c r="I121" s="26">
        <v>18200000</v>
      </c>
      <c r="J121" s="26">
        <v>18200000</v>
      </c>
      <c r="K121" s="100">
        <f t="shared" si="1"/>
        <v>0</v>
      </c>
    </row>
    <row r="122" spans="1:11" ht="15">
      <c r="A122" s="27">
        <v>44334</v>
      </c>
      <c r="B122" s="28" t="s">
        <v>1787</v>
      </c>
      <c r="C122" s="28" t="s">
        <v>1939</v>
      </c>
      <c r="D122" s="28" t="s">
        <v>2105</v>
      </c>
      <c r="E122" s="228" t="s">
        <v>1612</v>
      </c>
      <c r="F122" s="29"/>
      <c r="G122" s="238" t="s">
        <v>2076</v>
      </c>
      <c r="H122" s="15"/>
      <c r="I122" s="26">
        <v>18200000</v>
      </c>
      <c r="J122" s="26">
        <v>18200000</v>
      </c>
      <c r="K122" s="100">
        <f t="shared" si="1"/>
        <v>0</v>
      </c>
    </row>
    <row r="123" spans="1:11" ht="15">
      <c r="A123" s="27">
        <v>44334</v>
      </c>
      <c r="B123" s="28" t="s">
        <v>1877</v>
      </c>
      <c r="C123" s="28" t="s">
        <v>2106</v>
      </c>
      <c r="D123" s="28" t="s">
        <v>2107</v>
      </c>
      <c r="E123" s="228" t="s">
        <v>1612</v>
      </c>
      <c r="F123" s="29"/>
      <c r="G123" s="238" t="s">
        <v>2077</v>
      </c>
      <c r="H123" s="15"/>
      <c r="I123" s="26">
        <v>18200000</v>
      </c>
      <c r="J123" s="26">
        <v>18200000</v>
      </c>
      <c r="K123" s="100">
        <f t="shared" si="1"/>
        <v>0</v>
      </c>
    </row>
    <row r="124" spans="1:11" ht="15">
      <c r="A124" s="27">
        <v>44334</v>
      </c>
      <c r="B124" s="28" t="s">
        <v>1682</v>
      </c>
      <c r="C124" s="28" t="s">
        <v>1937</v>
      </c>
      <c r="D124" s="28" t="s">
        <v>2108</v>
      </c>
      <c r="E124" s="228" t="s">
        <v>1612</v>
      </c>
      <c r="F124" s="29"/>
      <c r="G124" s="238" t="s">
        <v>2078</v>
      </c>
      <c r="H124" s="15"/>
      <c r="I124" s="26">
        <v>18200000</v>
      </c>
      <c r="J124" s="26">
        <v>16640000</v>
      </c>
      <c r="K124" s="100">
        <f t="shared" si="1"/>
        <v>1560000</v>
      </c>
    </row>
    <row r="125" spans="1:11" ht="15">
      <c r="A125" s="27">
        <v>44335</v>
      </c>
      <c r="B125" s="28" t="s">
        <v>2133</v>
      </c>
      <c r="C125" s="28" t="s">
        <v>2109</v>
      </c>
      <c r="D125" s="28" t="s">
        <v>2110</v>
      </c>
      <c r="E125" s="228" t="s">
        <v>1612</v>
      </c>
      <c r="F125" s="29"/>
      <c r="G125" s="238" t="s">
        <v>2079</v>
      </c>
      <c r="H125" s="15"/>
      <c r="I125" s="26">
        <v>19933333</v>
      </c>
      <c r="J125" s="26">
        <v>19240000</v>
      </c>
      <c r="K125" s="100">
        <f t="shared" si="1"/>
        <v>693333</v>
      </c>
    </row>
    <row r="126" spans="1:11" ht="15">
      <c r="A126" s="27">
        <v>44336</v>
      </c>
      <c r="B126" s="28" t="s">
        <v>1783</v>
      </c>
      <c r="C126" s="28" t="s">
        <v>2111</v>
      </c>
      <c r="D126" s="28" t="s">
        <v>2112</v>
      </c>
      <c r="E126" s="228" t="s">
        <v>2145</v>
      </c>
      <c r="F126" s="29"/>
      <c r="G126" s="238" t="s">
        <v>1338</v>
      </c>
      <c r="H126" s="15"/>
      <c r="I126" s="26">
        <v>14745600</v>
      </c>
      <c r="J126" s="26">
        <v>14745600</v>
      </c>
      <c r="K126" s="100">
        <f t="shared" si="1"/>
        <v>0</v>
      </c>
    </row>
    <row r="127" spans="1:11" ht="15">
      <c r="A127" s="27">
        <v>44336</v>
      </c>
      <c r="B127" s="28" t="s">
        <v>1716</v>
      </c>
      <c r="C127" s="28" t="s">
        <v>2113</v>
      </c>
      <c r="D127" s="28" t="s">
        <v>2113</v>
      </c>
      <c r="E127" s="228" t="s">
        <v>2067</v>
      </c>
      <c r="F127" s="29"/>
      <c r="G127" s="238" t="s">
        <v>1337</v>
      </c>
      <c r="H127" s="15"/>
      <c r="I127" s="26">
        <v>14199467</v>
      </c>
      <c r="J127" s="26">
        <v>10922667</v>
      </c>
      <c r="K127" s="100">
        <f t="shared" si="1"/>
        <v>3276800</v>
      </c>
    </row>
    <row r="128" spans="1:11" ht="15">
      <c r="A128" s="27">
        <v>44336</v>
      </c>
      <c r="B128" s="28" t="s">
        <v>1725</v>
      </c>
      <c r="C128" s="28" t="s">
        <v>2107</v>
      </c>
      <c r="D128" s="28" t="s">
        <v>2027</v>
      </c>
      <c r="E128" s="228" t="s">
        <v>2146</v>
      </c>
      <c r="F128" s="29"/>
      <c r="G128" s="238" t="s">
        <v>2080</v>
      </c>
      <c r="H128" s="15"/>
      <c r="I128" s="26">
        <v>18200000</v>
      </c>
      <c r="J128" s="26">
        <v>16120000</v>
      </c>
      <c r="K128" s="100">
        <f t="shared" si="1"/>
        <v>2080000</v>
      </c>
    </row>
    <row r="129" spans="1:11" ht="15">
      <c r="A129" s="27">
        <v>44336</v>
      </c>
      <c r="B129" s="28" t="s">
        <v>1789</v>
      </c>
      <c r="C129" s="28" t="s">
        <v>2114</v>
      </c>
      <c r="D129" s="28" t="s">
        <v>2115</v>
      </c>
      <c r="E129" s="228" t="s">
        <v>2147</v>
      </c>
      <c r="F129" s="29"/>
      <c r="G129" s="238" t="s">
        <v>2081</v>
      </c>
      <c r="H129" s="15"/>
      <c r="I129" s="26">
        <v>18200000</v>
      </c>
      <c r="J129" s="26">
        <v>18200000</v>
      </c>
      <c r="K129" s="100">
        <f t="shared" si="1"/>
        <v>0</v>
      </c>
    </row>
    <row r="130" spans="1:11" ht="15">
      <c r="A130" s="27">
        <v>44336</v>
      </c>
      <c r="B130" s="28" t="s">
        <v>1785</v>
      </c>
      <c r="C130" s="28" t="s">
        <v>1938</v>
      </c>
      <c r="D130" s="28" t="s">
        <v>2116</v>
      </c>
      <c r="E130" s="228" t="s">
        <v>1612</v>
      </c>
      <c r="F130" s="29"/>
      <c r="G130" s="238" t="s">
        <v>2082</v>
      </c>
      <c r="H130" s="15"/>
      <c r="I130" s="26">
        <v>18200000</v>
      </c>
      <c r="J130" s="26">
        <v>18200000</v>
      </c>
      <c r="K130" s="100">
        <f t="shared" si="1"/>
        <v>0</v>
      </c>
    </row>
    <row r="131" spans="1:11" ht="15">
      <c r="A131" s="27">
        <v>44337</v>
      </c>
      <c r="B131" s="28" t="s">
        <v>1723</v>
      </c>
      <c r="C131" s="28" t="s">
        <v>2117</v>
      </c>
      <c r="D131" s="28" t="s">
        <v>2118</v>
      </c>
      <c r="E131" s="228" t="s">
        <v>2148</v>
      </c>
      <c r="F131" s="29"/>
      <c r="G131" s="238" t="s">
        <v>2083</v>
      </c>
      <c r="H131" s="15"/>
      <c r="I131" s="26">
        <v>18200000</v>
      </c>
      <c r="J131" s="26">
        <v>15340000</v>
      </c>
      <c r="K131" s="100">
        <f t="shared" si="1"/>
        <v>2860000</v>
      </c>
    </row>
    <row r="132" spans="1:11" ht="15">
      <c r="A132" s="27">
        <v>44341</v>
      </c>
      <c r="B132" s="28" t="s">
        <v>1721</v>
      </c>
      <c r="C132" s="28" t="s">
        <v>2119</v>
      </c>
      <c r="D132" s="28" t="s">
        <v>2120</v>
      </c>
      <c r="E132" s="228" t="s">
        <v>2067</v>
      </c>
      <c r="F132" s="29"/>
      <c r="G132" s="238" t="s">
        <v>1349</v>
      </c>
      <c r="H132" s="15"/>
      <c r="I132" s="26">
        <v>14540800</v>
      </c>
      <c r="J132" s="26">
        <v>14540800</v>
      </c>
      <c r="K132" s="100">
        <f t="shared" si="1"/>
        <v>0</v>
      </c>
    </row>
    <row r="133" spans="1:11" ht="15">
      <c r="A133" s="27">
        <v>44343</v>
      </c>
      <c r="B133" s="28" t="s">
        <v>1784</v>
      </c>
      <c r="C133" s="28" t="s">
        <v>2121</v>
      </c>
      <c r="D133" s="28" t="s">
        <v>2122</v>
      </c>
      <c r="E133" s="228" t="s">
        <v>2149</v>
      </c>
      <c r="F133" s="29"/>
      <c r="G133" s="238" t="s">
        <v>2084</v>
      </c>
      <c r="H133" s="15"/>
      <c r="I133" s="26">
        <v>15808350</v>
      </c>
      <c r="J133" s="26">
        <v>13524922</v>
      </c>
      <c r="K133" s="100">
        <f t="shared" si="1"/>
        <v>2283428</v>
      </c>
    </row>
    <row r="134" spans="1:11" ht="15">
      <c r="A134" s="27">
        <v>44343</v>
      </c>
      <c r="B134" s="28" t="s">
        <v>2134</v>
      </c>
      <c r="C134" s="28" t="s">
        <v>2123</v>
      </c>
      <c r="D134" s="28" t="s">
        <v>2124</v>
      </c>
      <c r="E134" s="228" t="s">
        <v>1612</v>
      </c>
      <c r="F134" s="29"/>
      <c r="G134" s="238" t="s">
        <v>2085</v>
      </c>
      <c r="H134" s="15"/>
      <c r="I134" s="26">
        <v>18200000</v>
      </c>
      <c r="J134" s="26">
        <v>18200000</v>
      </c>
      <c r="K134" s="100">
        <f t="shared" si="1"/>
        <v>0</v>
      </c>
    </row>
    <row r="135" spans="1:11" ht="15">
      <c r="A135" s="27">
        <v>44343</v>
      </c>
      <c r="B135" s="28" t="s">
        <v>2135</v>
      </c>
      <c r="C135" s="28" t="s">
        <v>1993</v>
      </c>
      <c r="D135" s="28" t="s">
        <v>2125</v>
      </c>
      <c r="E135" s="228" t="s">
        <v>2067</v>
      </c>
      <c r="F135" s="29"/>
      <c r="G135" s="238" t="s">
        <v>1353</v>
      </c>
      <c r="H135" s="15"/>
      <c r="I135" s="26">
        <v>13516800</v>
      </c>
      <c r="J135" s="26">
        <v>13516800</v>
      </c>
      <c r="K135" s="100">
        <f t="shared" si="1"/>
        <v>0</v>
      </c>
    </row>
    <row r="136" spans="1:11" ht="15">
      <c r="A136" s="27">
        <v>44343</v>
      </c>
      <c r="B136" s="28" t="s">
        <v>1892</v>
      </c>
      <c r="C136" s="28" t="s">
        <v>2126</v>
      </c>
      <c r="D136" s="28" t="s">
        <v>2127</v>
      </c>
      <c r="E136" s="228" t="s">
        <v>2143</v>
      </c>
      <c r="F136" s="29"/>
      <c r="G136" s="238" t="s">
        <v>2086</v>
      </c>
      <c r="H136" s="15"/>
      <c r="I136" s="26">
        <v>21000000</v>
      </c>
      <c r="J136" s="26">
        <v>21000000</v>
      </c>
      <c r="K136" s="100">
        <f t="shared" si="1"/>
        <v>0</v>
      </c>
    </row>
    <row r="137" spans="1:11" ht="15">
      <c r="A137" s="27">
        <v>44344</v>
      </c>
      <c r="B137" s="28" t="s">
        <v>2136</v>
      </c>
      <c r="C137" s="28" t="s">
        <v>2122</v>
      </c>
      <c r="D137" s="28" t="s">
        <v>2128</v>
      </c>
      <c r="E137" s="228" t="s">
        <v>2150</v>
      </c>
      <c r="F137" s="29"/>
      <c r="G137" s="238" t="s">
        <v>2087</v>
      </c>
      <c r="H137" s="15"/>
      <c r="I137" s="26">
        <v>10500000</v>
      </c>
      <c r="J137" s="26">
        <v>10500000</v>
      </c>
      <c r="K137" s="100">
        <f t="shared" si="1"/>
        <v>0</v>
      </c>
    </row>
    <row r="138" spans="1:11" ht="15">
      <c r="A138" s="27">
        <v>44347</v>
      </c>
      <c r="B138" s="28" t="s">
        <v>2137</v>
      </c>
      <c r="C138" s="28" t="s">
        <v>2129</v>
      </c>
      <c r="D138" s="28" t="s">
        <v>2130</v>
      </c>
      <c r="E138" s="228" t="s">
        <v>1612</v>
      </c>
      <c r="F138" s="29"/>
      <c r="G138" s="238" t="s">
        <v>2088</v>
      </c>
      <c r="H138" s="15"/>
      <c r="I138" s="26">
        <v>18200000</v>
      </c>
      <c r="J138" s="26">
        <v>17940000</v>
      </c>
      <c r="K138" s="100">
        <f t="shared" si="1"/>
        <v>260000</v>
      </c>
    </row>
    <row r="139" spans="1:11" ht="15">
      <c r="A139" s="27">
        <v>44347</v>
      </c>
      <c r="B139" s="28" t="s">
        <v>1895</v>
      </c>
      <c r="C139" s="28" t="s">
        <v>1851</v>
      </c>
      <c r="D139" s="28" t="s">
        <v>1945</v>
      </c>
      <c r="E139" s="228" t="s">
        <v>1975</v>
      </c>
      <c r="F139" s="29"/>
      <c r="G139" s="238" t="s">
        <v>1984</v>
      </c>
      <c r="H139" s="15"/>
      <c r="I139" s="26">
        <v>90000000</v>
      </c>
      <c r="J139" s="26">
        <v>44726696</v>
      </c>
      <c r="K139" s="100">
        <f t="shared" si="1"/>
        <v>45273304</v>
      </c>
    </row>
    <row r="140" spans="1:11" ht="15">
      <c r="A140" s="27">
        <v>44348</v>
      </c>
      <c r="B140" s="28" t="s">
        <v>1794</v>
      </c>
      <c r="C140" s="28" t="s">
        <v>1944</v>
      </c>
      <c r="D140" s="28" t="s">
        <v>2338</v>
      </c>
      <c r="E140" s="228" t="s">
        <v>2143</v>
      </c>
      <c r="F140" s="29"/>
      <c r="G140" s="238" t="s">
        <v>2354</v>
      </c>
      <c r="H140" s="15"/>
      <c r="I140" s="26">
        <v>18200000</v>
      </c>
      <c r="J140" s="26">
        <v>18113333</v>
      </c>
      <c r="K140" s="100">
        <f t="shared" si="1"/>
        <v>86667</v>
      </c>
    </row>
    <row r="141" spans="1:11" ht="15">
      <c r="A141" s="27">
        <v>44348</v>
      </c>
      <c r="B141" s="28" t="s">
        <v>1879</v>
      </c>
      <c r="C141" s="28" t="s">
        <v>2339</v>
      </c>
      <c r="D141" s="28" t="s">
        <v>2180</v>
      </c>
      <c r="E141" s="228" t="s">
        <v>2144</v>
      </c>
      <c r="F141" s="29"/>
      <c r="G141" s="238" t="s">
        <v>2355</v>
      </c>
      <c r="H141" s="15"/>
      <c r="I141" s="26">
        <v>18200000</v>
      </c>
      <c r="J141" s="26">
        <v>18113333</v>
      </c>
      <c r="K141" s="100">
        <f t="shared" si="1"/>
        <v>86667</v>
      </c>
    </row>
    <row r="142" spans="1:11" ht="15">
      <c r="A142" s="27">
        <v>44349</v>
      </c>
      <c r="B142" s="28" t="s">
        <v>1898</v>
      </c>
      <c r="C142" s="28" t="s">
        <v>2275</v>
      </c>
      <c r="D142" s="28" t="s">
        <v>1943</v>
      </c>
      <c r="E142" s="228" t="s">
        <v>2348</v>
      </c>
      <c r="F142" s="29"/>
      <c r="G142" s="238" t="s">
        <v>2356</v>
      </c>
      <c r="H142" s="15"/>
      <c r="I142" s="26">
        <f>30527000-30527000</f>
        <v>0</v>
      </c>
      <c r="J142" s="26">
        <v>0</v>
      </c>
      <c r="K142" s="100">
        <f t="shared" si="1"/>
        <v>0</v>
      </c>
    </row>
    <row r="143" spans="1:11" ht="15">
      <c r="A143" s="27">
        <v>44350</v>
      </c>
      <c r="B143" s="28" t="s">
        <v>1729</v>
      </c>
      <c r="C143" s="28" t="s">
        <v>2215</v>
      </c>
      <c r="D143" s="28" t="s">
        <v>2210</v>
      </c>
      <c r="E143" s="228" t="s">
        <v>1614</v>
      </c>
      <c r="F143" s="29"/>
      <c r="G143" s="238" t="s">
        <v>2357</v>
      </c>
      <c r="H143" s="15"/>
      <c r="I143" s="26">
        <v>18200000</v>
      </c>
      <c r="J143" s="26">
        <v>17940000</v>
      </c>
      <c r="K143" s="100">
        <f t="shared" si="1"/>
        <v>260000</v>
      </c>
    </row>
    <row r="144" spans="1:11" ht="15">
      <c r="A144" s="27">
        <v>44356</v>
      </c>
      <c r="B144" s="28" t="s">
        <v>2323</v>
      </c>
      <c r="C144" s="28" t="s">
        <v>1189</v>
      </c>
      <c r="D144" s="28" t="s">
        <v>2340</v>
      </c>
      <c r="E144" s="228" t="s">
        <v>2349</v>
      </c>
      <c r="F144" s="29"/>
      <c r="G144" s="238" t="s">
        <v>1165</v>
      </c>
      <c r="H144" s="15"/>
      <c r="I144" s="26">
        <v>8395576</v>
      </c>
      <c r="J144" s="26">
        <v>8395576</v>
      </c>
      <c r="K144" s="100">
        <f t="shared" si="1"/>
        <v>0</v>
      </c>
    </row>
    <row r="145" spans="1:11" ht="15">
      <c r="A145" s="27">
        <v>44358</v>
      </c>
      <c r="B145" s="28" t="s">
        <v>1792</v>
      </c>
      <c r="C145" s="28" t="s">
        <v>2127</v>
      </c>
      <c r="D145" s="28" t="s">
        <v>2341</v>
      </c>
      <c r="E145" s="228" t="s">
        <v>2350</v>
      </c>
      <c r="F145" s="29"/>
      <c r="G145" s="238" t="s">
        <v>2358</v>
      </c>
      <c r="H145" s="15"/>
      <c r="I145" s="26">
        <v>21000000</v>
      </c>
      <c r="J145" s="26">
        <v>19500000</v>
      </c>
      <c r="K145" s="100">
        <f t="shared" si="1"/>
        <v>1500000</v>
      </c>
    </row>
    <row r="146" spans="1:11" ht="15">
      <c r="A146" s="27">
        <v>44365</v>
      </c>
      <c r="B146" s="28" t="s">
        <v>1800</v>
      </c>
      <c r="C146" s="28" t="s">
        <v>2342</v>
      </c>
      <c r="D146" s="28" t="s">
        <v>2295</v>
      </c>
      <c r="E146" s="228" t="s">
        <v>2351</v>
      </c>
      <c r="F146" s="29"/>
      <c r="G146" s="238" t="s">
        <v>2359</v>
      </c>
      <c r="H146" s="15"/>
      <c r="I146" s="26">
        <v>21616000</v>
      </c>
      <c r="J146" s="26">
        <v>19557333</v>
      </c>
      <c r="K146" s="100">
        <f t="shared" si="1"/>
        <v>2058667</v>
      </c>
    </row>
    <row r="147" spans="1:11" ht="15">
      <c r="A147" s="27">
        <v>44369</v>
      </c>
      <c r="B147" s="28" t="s">
        <v>1803</v>
      </c>
      <c r="C147" s="28" t="s">
        <v>2224</v>
      </c>
      <c r="D147" s="28" t="s">
        <v>2343</v>
      </c>
      <c r="E147" s="228" t="s">
        <v>2352</v>
      </c>
      <c r="F147" s="29"/>
      <c r="G147" s="238" t="s">
        <v>2360</v>
      </c>
      <c r="H147" s="15"/>
      <c r="I147" s="26">
        <v>78000000</v>
      </c>
      <c r="J147" s="26">
        <v>78000000</v>
      </c>
      <c r="K147" s="100">
        <f t="shared" si="1"/>
        <v>0</v>
      </c>
    </row>
    <row r="148" spans="1:11" ht="15">
      <c r="A148" s="27">
        <v>44372</v>
      </c>
      <c r="B148" s="28" t="s">
        <v>2353</v>
      </c>
      <c r="C148" s="28" t="s">
        <v>2221</v>
      </c>
      <c r="D148" s="28" t="s">
        <v>2344</v>
      </c>
      <c r="E148" s="228" t="s">
        <v>1618</v>
      </c>
      <c r="F148" s="29"/>
      <c r="G148" s="238" t="s">
        <v>2361</v>
      </c>
      <c r="H148" s="15"/>
      <c r="I148" s="26">
        <v>16380000</v>
      </c>
      <c r="J148" s="26">
        <v>16120000</v>
      </c>
      <c r="K148" s="100">
        <f t="shared" si="1"/>
        <v>260000</v>
      </c>
    </row>
    <row r="149" spans="1:11" ht="15">
      <c r="A149" s="27">
        <v>44375</v>
      </c>
      <c r="B149" s="28" t="s">
        <v>1990</v>
      </c>
      <c r="C149" s="28" t="s">
        <v>2343</v>
      </c>
      <c r="D149" s="28" t="s">
        <v>2345</v>
      </c>
      <c r="E149" s="228" t="s">
        <v>1614</v>
      </c>
      <c r="F149" s="29"/>
      <c r="G149" s="238" t="s">
        <v>1629</v>
      </c>
      <c r="H149" s="15"/>
      <c r="I149" s="26">
        <v>15600000</v>
      </c>
      <c r="J149" s="26">
        <v>15600000</v>
      </c>
      <c r="K149" s="100">
        <f t="shared" si="1"/>
        <v>0</v>
      </c>
    </row>
    <row r="150" spans="1:11" ht="15">
      <c r="A150" s="27">
        <v>44375</v>
      </c>
      <c r="B150" s="28" t="s">
        <v>1880</v>
      </c>
      <c r="C150" s="28" t="s">
        <v>2346</v>
      </c>
      <c r="D150" s="28" t="s">
        <v>2347</v>
      </c>
      <c r="E150" s="228" t="s">
        <v>1612</v>
      </c>
      <c r="F150" s="29"/>
      <c r="G150" s="238" t="s">
        <v>2362</v>
      </c>
      <c r="H150" s="15"/>
      <c r="I150" s="26">
        <v>15773333</v>
      </c>
      <c r="J150" s="26">
        <v>13173333</v>
      </c>
      <c r="K150" s="100">
        <f t="shared" si="1"/>
        <v>2600000</v>
      </c>
    </row>
    <row r="151" spans="1:11" ht="15">
      <c r="A151" s="27">
        <v>44379</v>
      </c>
      <c r="B151" s="28" t="s">
        <v>2445</v>
      </c>
      <c r="C151" s="28" t="s">
        <v>1189</v>
      </c>
      <c r="D151" s="28" t="s">
        <v>2588</v>
      </c>
      <c r="E151" s="228" t="s">
        <v>2668</v>
      </c>
      <c r="F151" s="29"/>
      <c r="G151" s="238" t="s">
        <v>1165</v>
      </c>
      <c r="H151" s="15"/>
      <c r="I151" s="26">
        <v>8410000</v>
      </c>
      <c r="J151" s="26">
        <v>8410000</v>
      </c>
      <c r="K151" s="100">
        <f t="shared" si="1"/>
        <v>0</v>
      </c>
    </row>
    <row r="152" spans="1:11" ht="15">
      <c r="A152" s="27">
        <v>44379</v>
      </c>
      <c r="B152" s="28" t="s">
        <v>2090</v>
      </c>
      <c r="C152" s="28" t="s">
        <v>2288</v>
      </c>
      <c r="D152" s="28" t="s">
        <v>2589</v>
      </c>
      <c r="E152" s="228" t="s">
        <v>1614</v>
      </c>
      <c r="F152" s="29"/>
      <c r="G152" s="238" t="s">
        <v>2690</v>
      </c>
      <c r="H152" s="15"/>
      <c r="I152" s="26">
        <v>15600000</v>
      </c>
      <c r="J152" s="26">
        <v>15513333</v>
      </c>
      <c r="K152" s="100">
        <f t="shared" si="1"/>
        <v>86667</v>
      </c>
    </row>
    <row r="153" spans="1:11" ht="15">
      <c r="A153" s="27">
        <v>44383</v>
      </c>
      <c r="B153" s="28" t="s">
        <v>2167</v>
      </c>
      <c r="C153" s="28" t="s">
        <v>2590</v>
      </c>
      <c r="D153" s="28" t="s">
        <v>2591</v>
      </c>
      <c r="E153" s="228" t="s">
        <v>1860</v>
      </c>
      <c r="F153" s="29"/>
      <c r="G153" s="238" t="s">
        <v>2691</v>
      </c>
      <c r="H153" s="15"/>
      <c r="I153" s="26">
        <v>15600000</v>
      </c>
      <c r="J153" s="26">
        <v>12480000</v>
      </c>
      <c r="K153" s="100">
        <f t="shared" si="1"/>
        <v>3120000</v>
      </c>
    </row>
    <row r="154" spans="1:11" ht="15">
      <c r="A154" s="27">
        <v>44384</v>
      </c>
      <c r="B154" s="28" t="s">
        <v>1920</v>
      </c>
      <c r="C154" s="28" t="s">
        <v>2408</v>
      </c>
      <c r="D154" s="28" t="s">
        <v>2592</v>
      </c>
      <c r="E154" s="228" t="s">
        <v>1860</v>
      </c>
      <c r="F154" s="29"/>
      <c r="G154" s="238" t="s">
        <v>2692</v>
      </c>
      <c r="H154" s="15"/>
      <c r="I154" s="26">
        <v>15166667</v>
      </c>
      <c r="J154" s="26">
        <v>12046667</v>
      </c>
      <c r="K154" s="100">
        <f t="shared" si="1"/>
        <v>3120000</v>
      </c>
    </row>
    <row r="155" spans="1:11" ht="15">
      <c r="A155" s="27">
        <v>44384</v>
      </c>
      <c r="B155" s="28" t="s">
        <v>1737</v>
      </c>
      <c r="C155" s="28" t="s">
        <v>2593</v>
      </c>
      <c r="D155" s="28" t="s">
        <v>2594</v>
      </c>
      <c r="E155" s="228" t="s">
        <v>2669</v>
      </c>
      <c r="F155" s="29"/>
      <c r="G155" s="238" t="s">
        <v>2693</v>
      </c>
      <c r="H155" s="15"/>
      <c r="I155" s="26">
        <v>15166667</v>
      </c>
      <c r="J155" s="26">
        <v>14993333</v>
      </c>
      <c r="K155" s="100">
        <f t="shared" si="1"/>
        <v>173334</v>
      </c>
    </row>
    <row r="156" spans="1:11" ht="15">
      <c r="A156" s="27">
        <v>44384</v>
      </c>
      <c r="B156" s="28" t="s">
        <v>2168</v>
      </c>
      <c r="C156" s="28" t="s">
        <v>2595</v>
      </c>
      <c r="D156" s="28" t="s">
        <v>2593</v>
      </c>
      <c r="E156" s="228" t="s">
        <v>2670</v>
      </c>
      <c r="F156" s="29"/>
      <c r="G156" s="238" t="s">
        <v>2694</v>
      </c>
      <c r="H156" s="15"/>
      <c r="I156" s="26">
        <v>15600000</v>
      </c>
      <c r="J156" s="26">
        <v>14993333</v>
      </c>
      <c r="K156" s="100">
        <f t="shared" si="1"/>
        <v>606667</v>
      </c>
    </row>
    <row r="157" spans="1:11" ht="15">
      <c r="A157" s="27">
        <v>44384</v>
      </c>
      <c r="B157" s="28" t="s">
        <v>1989</v>
      </c>
      <c r="C157" s="28" t="s">
        <v>2592</v>
      </c>
      <c r="D157" s="28" t="s">
        <v>2491</v>
      </c>
      <c r="E157" s="228" t="s">
        <v>2669</v>
      </c>
      <c r="F157" s="29"/>
      <c r="G157" s="238" t="s">
        <v>2695</v>
      </c>
      <c r="H157" s="15"/>
      <c r="I157" s="26">
        <v>15166667</v>
      </c>
      <c r="J157" s="26">
        <v>12480000</v>
      </c>
      <c r="K157" s="100">
        <f t="shared" si="1"/>
        <v>2686667</v>
      </c>
    </row>
    <row r="158" spans="1:11" ht="15">
      <c r="A158" s="27">
        <v>44384</v>
      </c>
      <c r="B158" s="28" t="s">
        <v>1987</v>
      </c>
      <c r="C158" s="28" t="s">
        <v>2504</v>
      </c>
      <c r="D158" s="28" t="s">
        <v>2511</v>
      </c>
      <c r="E158" s="228" t="s">
        <v>1860</v>
      </c>
      <c r="F158" s="29"/>
      <c r="G158" s="238" t="s">
        <v>2696</v>
      </c>
      <c r="H158" s="15"/>
      <c r="I158" s="26">
        <v>15600000</v>
      </c>
      <c r="J158" s="26">
        <v>12480000</v>
      </c>
      <c r="K158" s="100">
        <f t="shared" si="1"/>
        <v>3120000</v>
      </c>
    </row>
    <row r="159" spans="1:11" ht="15">
      <c r="A159" s="27">
        <v>44384</v>
      </c>
      <c r="B159" s="28" t="s">
        <v>2003</v>
      </c>
      <c r="C159" s="28" t="s">
        <v>2596</v>
      </c>
      <c r="D159" s="28" t="s">
        <v>2501</v>
      </c>
      <c r="E159" s="228" t="s">
        <v>1614</v>
      </c>
      <c r="F159" s="29"/>
      <c r="G159" s="238" t="s">
        <v>2697</v>
      </c>
      <c r="H159" s="15"/>
      <c r="I159" s="26">
        <v>15513333</v>
      </c>
      <c r="J159" s="26">
        <v>15080000</v>
      </c>
      <c r="K159" s="100">
        <f t="shared" si="1"/>
        <v>433333</v>
      </c>
    </row>
    <row r="160" spans="1:11" ht="15">
      <c r="A160" s="27">
        <v>44384</v>
      </c>
      <c r="B160" s="28" t="s">
        <v>1992</v>
      </c>
      <c r="C160" s="28" t="s">
        <v>2591</v>
      </c>
      <c r="D160" s="28" t="s">
        <v>2507</v>
      </c>
      <c r="E160" s="228" t="s">
        <v>2669</v>
      </c>
      <c r="F160" s="29"/>
      <c r="G160" s="238" t="s">
        <v>2698</v>
      </c>
      <c r="H160" s="15"/>
      <c r="I160" s="26">
        <v>15166667</v>
      </c>
      <c r="J160" s="26">
        <v>12480000</v>
      </c>
      <c r="K160" s="100">
        <f t="shared" si="1"/>
        <v>2686667</v>
      </c>
    </row>
    <row r="161" spans="1:11" ht="15">
      <c r="A161" s="27">
        <v>44384</v>
      </c>
      <c r="B161" s="28" t="s">
        <v>1991</v>
      </c>
      <c r="C161" s="28" t="s">
        <v>2498</v>
      </c>
      <c r="D161" s="28" t="s">
        <v>2597</v>
      </c>
      <c r="E161" s="228" t="s">
        <v>1612</v>
      </c>
      <c r="F161" s="29"/>
      <c r="G161" s="238" t="s">
        <v>2699</v>
      </c>
      <c r="H161" s="15"/>
      <c r="I161" s="26">
        <v>15600000</v>
      </c>
      <c r="J161" s="26">
        <v>14906667</v>
      </c>
      <c r="K161" s="100">
        <f t="shared" si="1"/>
        <v>693333</v>
      </c>
    </row>
    <row r="162" spans="1:11" ht="15">
      <c r="A162" s="27">
        <v>44385</v>
      </c>
      <c r="B162" s="28" t="s">
        <v>2093</v>
      </c>
      <c r="C162" s="28" t="s">
        <v>2500</v>
      </c>
      <c r="D162" s="28" t="s">
        <v>2509</v>
      </c>
      <c r="E162" s="228" t="s">
        <v>1614</v>
      </c>
      <c r="F162" s="29"/>
      <c r="G162" s="238" t="s">
        <v>2700</v>
      </c>
      <c r="H162" s="15"/>
      <c r="I162" s="26">
        <v>15600000</v>
      </c>
      <c r="J162" s="26">
        <v>14646667</v>
      </c>
      <c r="K162" s="100">
        <f t="shared" si="1"/>
        <v>953333</v>
      </c>
    </row>
    <row r="163" spans="1:11" ht="15">
      <c r="A163" s="27">
        <v>44385</v>
      </c>
      <c r="B163" s="28" t="s">
        <v>2007</v>
      </c>
      <c r="C163" s="28" t="s">
        <v>2506</v>
      </c>
      <c r="D163" s="28" t="s">
        <v>2598</v>
      </c>
      <c r="E163" s="228" t="s">
        <v>2143</v>
      </c>
      <c r="F163" s="29"/>
      <c r="G163" s="238" t="s">
        <v>2701</v>
      </c>
      <c r="H163" s="15"/>
      <c r="I163" s="26">
        <v>15600000</v>
      </c>
      <c r="J163" s="26">
        <v>12046667</v>
      </c>
      <c r="K163" s="100">
        <f t="shared" si="1"/>
        <v>3553333</v>
      </c>
    </row>
    <row r="164" spans="1:11" ht="15">
      <c r="A164" s="27">
        <v>44386</v>
      </c>
      <c r="B164" s="28" t="s">
        <v>2016</v>
      </c>
      <c r="C164" s="28" t="s">
        <v>2599</v>
      </c>
      <c r="D164" s="28" t="s">
        <v>2600</v>
      </c>
      <c r="E164" s="228" t="s">
        <v>1614</v>
      </c>
      <c r="F164" s="29"/>
      <c r="G164" s="238" t="s">
        <v>2702</v>
      </c>
      <c r="H164" s="15"/>
      <c r="I164" s="26">
        <v>15166667</v>
      </c>
      <c r="J164" s="26">
        <v>14646667</v>
      </c>
      <c r="K164" s="100">
        <f t="shared" si="1"/>
        <v>520000</v>
      </c>
    </row>
    <row r="165" spans="1:11" ht="15">
      <c r="A165" s="27">
        <v>44386</v>
      </c>
      <c r="B165" s="28" t="s">
        <v>2014</v>
      </c>
      <c r="C165" s="28" t="s">
        <v>2601</v>
      </c>
      <c r="D165" s="28" t="s">
        <v>2602</v>
      </c>
      <c r="E165" s="228" t="s">
        <v>1860</v>
      </c>
      <c r="F165" s="29"/>
      <c r="G165" s="238" t="s">
        <v>2703</v>
      </c>
      <c r="H165" s="15"/>
      <c r="I165" s="26">
        <v>15166667</v>
      </c>
      <c r="J165" s="26">
        <v>14473333</v>
      </c>
      <c r="K165" s="100">
        <f t="shared" si="1"/>
        <v>693334</v>
      </c>
    </row>
    <row r="166" spans="1:11" ht="15">
      <c r="A166" s="27">
        <v>44386</v>
      </c>
      <c r="B166" s="28" t="s">
        <v>1927</v>
      </c>
      <c r="C166" s="28" t="s">
        <v>2603</v>
      </c>
      <c r="D166" s="28" t="s">
        <v>2604</v>
      </c>
      <c r="E166" s="228" t="s">
        <v>1614</v>
      </c>
      <c r="F166" s="29"/>
      <c r="G166" s="238" t="s">
        <v>2704</v>
      </c>
      <c r="H166" s="15"/>
      <c r="I166" s="26">
        <v>14906667</v>
      </c>
      <c r="J166" s="26">
        <v>14646667</v>
      </c>
      <c r="K166" s="100">
        <f t="shared" si="1"/>
        <v>260000</v>
      </c>
    </row>
    <row r="167" spans="1:11" ht="15">
      <c r="A167" s="27">
        <v>44389</v>
      </c>
      <c r="B167" s="28" t="s">
        <v>2015</v>
      </c>
      <c r="C167" s="28" t="s">
        <v>2605</v>
      </c>
      <c r="D167" s="28" t="s">
        <v>2514</v>
      </c>
      <c r="E167" s="228" t="s">
        <v>1860</v>
      </c>
      <c r="F167" s="29"/>
      <c r="G167" s="238" t="s">
        <v>2705</v>
      </c>
      <c r="H167" s="15"/>
      <c r="I167" s="26">
        <v>14646667</v>
      </c>
      <c r="J167" s="26">
        <v>12046667</v>
      </c>
      <c r="K167" s="100">
        <f t="shared" si="1"/>
        <v>2600000</v>
      </c>
    </row>
    <row r="168" spans="1:11" ht="15">
      <c r="A168" s="27">
        <v>44391</v>
      </c>
      <c r="B168" s="28" t="s">
        <v>1936</v>
      </c>
      <c r="C168" s="28" t="s">
        <v>2606</v>
      </c>
      <c r="D168" s="28" t="s">
        <v>2607</v>
      </c>
      <c r="E168" s="228" t="s">
        <v>1614</v>
      </c>
      <c r="F168" s="29"/>
      <c r="G168" s="238" t="s">
        <v>2706</v>
      </c>
      <c r="H168" s="15"/>
      <c r="I168" s="26">
        <v>14820000</v>
      </c>
      <c r="J168" s="26">
        <v>7626667</v>
      </c>
      <c r="K168" s="100">
        <f t="shared" si="1"/>
        <v>7193333</v>
      </c>
    </row>
    <row r="169" spans="1:11" ht="15">
      <c r="A169" s="27">
        <v>44393</v>
      </c>
      <c r="B169" s="28" t="s">
        <v>1937</v>
      </c>
      <c r="C169" s="28" t="s">
        <v>2604</v>
      </c>
      <c r="D169" s="28" t="s">
        <v>2416</v>
      </c>
      <c r="E169" s="228" t="s">
        <v>2671</v>
      </c>
      <c r="F169" s="29"/>
      <c r="G169" s="238" t="s">
        <v>415</v>
      </c>
      <c r="H169" s="15"/>
      <c r="I169" s="26">
        <v>27306667</v>
      </c>
      <c r="J169" s="26">
        <v>27306667</v>
      </c>
      <c r="K169" s="100">
        <f t="shared" si="1"/>
        <v>0</v>
      </c>
    </row>
    <row r="170" spans="1:11" ht="15">
      <c r="A170" s="27">
        <v>44393</v>
      </c>
      <c r="B170" s="28" t="s">
        <v>1939</v>
      </c>
      <c r="C170" s="28" t="s">
        <v>2608</v>
      </c>
      <c r="D170" s="28" t="s">
        <v>2424</v>
      </c>
      <c r="E170" s="228" t="s">
        <v>1614</v>
      </c>
      <c r="F170" s="29"/>
      <c r="G170" s="238" t="s">
        <v>2707</v>
      </c>
      <c r="H170" s="15"/>
      <c r="I170" s="26">
        <v>14906667</v>
      </c>
      <c r="J170" s="26">
        <v>13866667</v>
      </c>
      <c r="K170" s="100">
        <f t="shared" si="1"/>
        <v>1040000</v>
      </c>
    </row>
    <row r="171" spans="1:11" ht="15">
      <c r="A171" s="27">
        <v>44393</v>
      </c>
      <c r="B171" s="28" t="s">
        <v>2103</v>
      </c>
      <c r="C171" s="28" t="s">
        <v>2609</v>
      </c>
      <c r="D171" s="28" t="s">
        <v>2432</v>
      </c>
      <c r="E171" s="228" t="s">
        <v>1860</v>
      </c>
      <c r="F171" s="29"/>
      <c r="G171" s="238" t="s">
        <v>2708</v>
      </c>
      <c r="H171" s="15"/>
      <c r="I171" s="26">
        <v>19716667</v>
      </c>
      <c r="J171" s="26">
        <v>19250000</v>
      </c>
      <c r="K171" s="100">
        <f t="shared" si="1"/>
        <v>466667</v>
      </c>
    </row>
    <row r="172" spans="1:11" ht="15">
      <c r="A172" s="27">
        <v>44393</v>
      </c>
      <c r="B172" s="28" t="s">
        <v>1938</v>
      </c>
      <c r="C172" s="28" t="s">
        <v>2610</v>
      </c>
      <c r="D172" s="28" t="s">
        <v>2430</v>
      </c>
      <c r="E172" s="228" t="s">
        <v>2672</v>
      </c>
      <c r="F172" s="29"/>
      <c r="G172" s="238" t="s">
        <v>318</v>
      </c>
      <c r="H172" s="15"/>
      <c r="I172" s="26">
        <v>43680000</v>
      </c>
      <c r="J172" s="26">
        <v>42900000</v>
      </c>
      <c r="K172" s="100">
        <f t="shared" si="1"/>
        <v>780000</v>
      </c>
    </row>
    <row r="173" spans="1:11" ht="15">
      <c r="A173" s="27">
        <v>44396</v>
      </c>
      <c r="B173" s="28" t="s">
        <v>2108</v>
      </c>
      <c r="C173" s="28" t="s">
        <v>2611</v>
      </c>
      <c r="D173" s="28" t="s">
        <v>2612</v>
      </c>
      <c r="E173" s="228" t="s">
        <v>2673</v>
      </c>
      <c r="F173" s="29"/>
      <c r="G173" s="238" t="s">
        <v>119</v>
      </c>
      <c r="H173" s="15"/>
      <c r="I173" s="26">
        <v>47216640</v>
      </c>
      <c r="J173" s="26">
        <v>47216640</v>
      </c>
      <c r="K173" s="100">
        <f t="shared" si="1"/>
        <v>0</v>
      </c>
    </row>
    <row r="174" spans="1:11" ht="15">
      <c r="A174" s="27">
        <v>44396</v>
      </c>
      <c r="B174" s="28" t="s">
        <v>2025</v>
      </c>
      <c r="C174" s="28" t="s">
        <v>2613</v>
      </c>
      <c r="D174" s="28" t="s">
        <v>2418</v>
      </c>
      <c r="E174" s="228" t="s">
        <v>1860</v>
      </c>
      <c r="F174" s="29"/>
      <c r="G174" s="238" t="s">
        <v>2709</v>
      </c>
      <c r="H174" s="15"/>
      <c r="I174" s="26">
        <v>14646667</v>
      </c>
      <c r="J174" s="26">
        <v>13866667</v>
      </c>
      <c r="K174" s="100">
        <f t="shared" si="1"/>
        <v>780000</v>
      </c>
    </row>
    <row r="175" spans="1:11" ht="15">
      <c r="A175" s="27">
        <v>44396</v>
      </c>
      <c r="B175" s="28" t="s">
        <v>2100</v>
      </c>
      <c r="C175" s="28" t="s">
        <v>2614</v>
      </c>
      <c r="D175" s="28" t="s">
        <v>2615</v>
      </c>
      <c r="E175" s="228" t="s">
        <v>2674</v>
      </c>
      <c r="F175" s="29"/>
      <c r="G175" s="238" t="s">
        <v>152</v>
      </c>
      <c r="H175" s="15"/>
      <c r="I175" s="26">
        <v>29306880</v>
      </c>
      <c r="J175" s="26">
        <v>29306880</v>
      </c>
      <c r="K175" s="100">
        <f t="shared" si="1"/>
        <v>0</v>
      </c>
    </row>
    <row r="176" spans="1:11" ht="15">
      <c r="A176" s="27">
        <v>44396</v>
      </c>
      <c r="B176" s="28" t="s">
        <v>2114</v>
      </c>
      <c r="C176" s="28" t="s">
        <v>2616</v>
      </c>
      <c r="D176" s="28" t="s">
        <v>2617</v>
      </c>
      <c r="E176" s="228" t="s">
        <v>2675</v>
      </c>
      <c r="F176" s="29"/>
      <c r="G176" s="238" t="s">
        <v>179</v>
      </c>
      <c r="H176" s="15"/>
      <c r="I176" s="26">
        <v>24084480</v>
      </c>
      <c r="J176" s="26">
        <v>23224320</v>
      </c>
      <c r="K176" s="100">
        <f t="shared" si="1"/>
        <v>860160</v>
      </c>
    </row>
    <row r="177" spans="1:11" ht="15">
      <c r="A177" s="27">
        <v>44398</v>
      </c>
      <c r="B177" s="28" t="s">
        <v>2117</v>
      </c>
      <c r="C177" s="28" t="s">
        <v>2523</v>
      </c>
      <c r="D177" s="28" t="s">
        <v>2618</v>
      </c>
      <c r="E177" s="228" t="s">
        <v>2672</v>
      </c>
      <c r="F177" s="29"/>
      <c r="G177" s="238" t="s">
        <v>110</v>
      </c>
      <c r="H177" s="15"/>
      <c r="I177" s="26">
        <v>24084480</v>
      </c>
      <c r="J177" s="26">
        <v>18636800</v>
      </c>
      <c r="K177" s="100">
        <f t="shared" si="1"/>
        <v>5447680</v>
      </c>
    </row>
    <row r="178" spans="1:11" ht="15">
      <c r="A178" s="27">
        <v>44398</v>
      </c>
      <c r="B178" s="28" t="s">
        <v>1941</v>
      </c>
      <c r="C178" s="28" t="s">
        <v>2619</v>
      </c>
      <c r="D178" s="28" t="s">
        <v>2620</v>
      </c>
      <c r="E178" s="228" t="s">
        <v>1612</v>
      </c>
      <c r="F178" s="29"/>
      <c r="G178" s="238" t="s">
        <v>317</v>
      </c>
      <c r="H178" s="15"/>
      <c r="I178" s="26">
        <v>14300000</v>
      </c>
      <c r="J178" s="26">
        <v>13780000</v>
      </c>
      <c r="K178" s="100">
        <f t="shared" si="1"/>
        <v>520000</v>
      </c>
    </row>
    <row r="179" spans="1:11" ht="15">
      <c r="A179" s="27">
        <v>44399</v>
      </c>
      <c r="B179" s="28" t="s">
        <v>2178</v>
      </c>
      <c r="C179" s="28" t="s">
        <v>2621</v>
      </c>
      <c r="D179" s="28" t="s">
        <v>2622</v>
      </c>
      <c r="E179" s="228" t="s">
        <v>1614</v>
      </c>
      <c r="F179" s="29"/>
      <c r="G179" s="238" t="s">
        <v>397</v>
      </c>
      <c r="H179" s="15"/>
      <c r="I179" s="26">
        <v>14386667</v>
      </c>
      <c r="J179" s="26">
        <v>11180000</v>
      </c>
      <c r="K179" s="100">
        <f t="shared" si="1"/>
        <v>3206667</v>
      </c>
    </row>
    <row r="180" spans="1:11" ht="15">
      <c r="A180" s="27">
        <v>44399</v>
      </c>
      <c r="B180" s="28" t="s">
        <v>2123</v>
      </c>
      <c r="C180" s="28" t="s">
        <v>2623</v>
      </c>
      <c r="D180" s="28" t="s">
        <v>2624</v>
      </c>
      <c r="E180" s="228" t="s">
        <v>1614</v>
      </c>
      <c r="F180" s="29"/>
      <c r="G180" s="238" t="s">
        <v>217</v>
      </c>
      <c r="H180" s="15"/>
      <c r="I180" s="26">
        <v>14386667</v>
      </c>
      <c r="J180" s="26">
        <v>10833333</v>
      </c>
      <c r="K180" s="100">
        <f t="shared" si="1"/>
        <v>3553334</v>
      </c>
    </row>
    <row r="181" spans="1:11" ht="15">
      <c r="A181" s="27">
        <v>44399</v>
      </c>
      <c r="B181" s="28" t="s">
        <v>2725</v>
      </c>
      <c r="C181" s="28" t="s">
        <v>2625</v>
      </c>
      <c r="D181" s="28" t="s">
        <v>2434</v>
      </c>
      <c r="E181" s="228" t="s">
        <v>1614</v>
      </c>
      <c r="F181" s="29"/>
      <c r="G181" s="238" t="s">
        <v>2710</v>
      </c>
      <c r="H181" s="15"/>
      <c r="I181" s="26">
        <v>14386667</v>
      </c>
      <c r="J181" s="26">
        <v>13780000</v>
      </c>
      <c r="K181" s="100">
        <f t="shared" si="1"/>
        <v>606667</v>
      </c>
    </row>
    <row r="182" spans="1:11" ht="15">
      <c r="A182" s="27">
        <v>44399</v>
      </c>
      <c r="B182" s="28" t="s">
        <v>2339</v>
      </c>
      <c r="C182" s="28" t="s">
        <v>2626</v>
      </c>
      <c r="D182" s="28" t="s">
        <v>2627</v>
      </c>
      <c r="E182" s="228" t="s">
        <v>2676</v>
      </c>
      <c r="F182" s="29"/>
      <c r="G182" s="238" t="s">
        <v>1632</v>
      </c>
      <c r="H182" s="15"/>
      <c r="I182" s="26">
        <v>118726960</v>
      </c>
      <c r="J182" s="26">
        <v>106854264</v>
      </c>
      <c r="K182" s="100">
        <f t="shared" si="1"/>
        <v>11872696</v>
      </c>
    </row>
    <row r="183" spans="1:11" ht="15">
      <c r="A183" s="27">
        <v>44399</v>
      </c>
      <c r="B183" s="28" t="s">
        <v>2121</v>
      </c>
      <c r="C183" s="28" t="s">
        <v>2628</v>
      </c>
      <c r="D183" s="28" t="s">
        <v>2527</v>
      </c>
      <c r="E183" s="228" t="s">
        <v>1614</v>
      </c>
      <c r="F183" s="29"/>
      <c r="G183" s="238" t="s">
        <v>400</v>
      </c>
      <c r="H183" s="15"/>
      <c r="I183" s="26">
        <v>14386667</v>
      </c>
      <c r="J183" s="26">
        <v>13693333</v>
      </c>
      <c r="K183" s="100">
        <f t="shared" si="1"/>
        <v>693334</v>
      </c>
    </row>
    <row r="184" spans="1:11" ht="15">
      <c r="A184" s="27">
        <v>44400</v>
      </c>
      <c r="B184" s="28" t="s">
        <v>2127</v>
      </c>
      <c r="C184" s="28" t="s">
        <v>2629</v>
      </c>
      <c r="D184" s="28" t="s">
        <v>2630</v>
      </c>
      <c r="E184" s="228" t="s">
        <v>2677</v>
      </c>
      <c r="F184" s="29"/>
      <c r="G184" s="238" t="s">
        <v>2711</v>
      </c>
      <c r="H184" s="15"/>
      <c r="I184" s="26">
        <v>27432933</v>
      </c>
      <c r="J184" s="26">
        <v>26269112</v>
      </c>
      <c r="K184" s="100">
        <f t="shared" si="1"/>
        <v>1163821</v>
      </c>
    </row>
    <row r="185" spans="1:11" ht="15">
      <c r="A185" s="27">
        <v>44400</v>
      </c>
      <c r="B185" s="28" t="s">
        <v>2214</v>
      </c>
      <c r="C185" s="28" t="s">
        <v>2631</v>
      </c>
      <c r="D185" s="28" t="s">
        <v>2632</v>
      </c>
      <c r="E185" s="228" t="s">
        <v>1614</v>
      </c>
      <c r="F185" s="29"/>
      <c r="G185" s="238" t="s">
        <v>2712</v>
      </c>
      <c r="H185" s="15"/>
      <c r="I185" s="26">
        <v>14386667</v>
      </c>
      <c r="J185" s="26">
        <v>2600000</v>
      </c>
      <c r="K185" s="100">
        <f t="shared" si="1"/>
        <v>11786667</v>
      </c>
    </row>
    <row r="186" spans="1:11" ht="15">
      <c r="A186" s="27">
        <v>44400</v>
      </c>
      <c r="B186" s="28" t="s">
        <v>2204</v>
      </c>
      <c r="C186" s="28" t="s">
        <v>2633</v>
      </c>
      <c r="D186" s="28" t="s">
        <v>2529</v>
      </c>
      <c r="E186" s="228" t="s">
        <v>1614</v>
      </c>
      <c r="F186" s="29"/>
      <c r="G186" s="238" t="s">
        <v>2713</v>
      </c>
      <c r="H186" s="15"/>
      <c r="I186" s="26">
        <v>14300000</v>
      </c>
      <c r="J186" s="26">
        <v>13433333</v>
      </c>
      <c r="K186" s="100">
        <f t="shared" si="1"/>
        <v>866667</v>
      </c>
    </row>
    <row r="187" spans="1:11" ht="15">
      <c r="A187" s="27">
        <v>44400</v>
      </c>
      <c r="B187" s="28" t="s">
        <v>2726</v>
      </c>
      <c r="C187" s="28" t="s">
        <v>2594</v>
      </c>
      <c r="D187" s="28" t="s">
        <v>2538</v>
      </c>
      <c r="E187" s="228" t="s">
        <v>2669</v>
      </c>
      <c r="F187" s="29"/>
      <c r="G187" s="238" t="s">
        <v>2714</v>
      </c>
      <c r="H187" s="15"/>
      <c r="I187" s="26">
        <v>15166667</v>
      </c>
      <c r="J187" s="26">
        <v>13433333</v>
      </c>
      <c r="K187" s="100">
        <f t="shared" si="1"/>
        <v>1733334</v>
      </c>
    </row>
    <row r="188" spans="1:11" ht="15">
      <c r="A188" s="27">
        <v>44400</v>
      </c>
      <c r="B188" s="28" t="s">
        <v>2120</v>
      </c>
      <c r="C188" s="28" t="s">
        <v>2634</v>
      </c>
      <c r="D188" s="28" t="s">
        <v>2635</v>
      </c>
      <c r="E188" s="228" t="s">
        <v>1614</v>
      </c>
      <c r="F188" s="29"/>
      <c r="G188" s="238" t="s">
        <v>398</v>
      </c>
      <c r="H188" s="15"/>
      <c r="I188" s="26">
        <v>14731947</v>
      </c>
      <c r="J188" s="26">
        <v>11093333</v>
      </c>
      <c r="K188" s="100">
        <f t="shared" si="1"/>
        <v>3638614</v>
      </c>
    </row>
    <row r="189" spans="1:11" ht="15">
      <c r="A189" s="27">
        <v>44403</v>
      </c>
      <c r="B189" s="28" t="s">
        <v>2128</v>
      </c>
      <c r="C189" s="28" t="s">
        <v>2415</v>
      </c>
      <c r="D189" s="28" t="s">
        <v>2636</v>
      </c>
      <c r="E189" s="228" t="s">
        <v>2678</v>
      </c>
      <c r="F189" s="29"/>
      <c r="G189" s="238" t="s">
        <v>300</v>
      </c>
      <c r="H189" s="15"/>
      <c r="I189" s="26">
        <v>33177600</v>
      </c>
      <c r="J189" s="26">
        <v>31744000</v>
      </c>
      <c r="K189" s="100">
        <f t="shared" si="1"/>
        <v>1433600</v>
      </c>
    </row>
    <row r="190" spans="1:11" ht="15">
      <c r="A190" s="27">
        <v>44404</v>
      </c>
      <c r="B190" s="28" t="s">
        <v>2275</v>
      </c>
      <c r="C190" s="28" t="s">
        <v>2637</v>
      </c>
      <c r="D190" s="28" t="s">
        <v>2541</v>
      </c>
      <c r="E190" s="228" t="s">
        <v>2679</v>
      </c>
      <c r="F190" s="29"/>
      <c r="G190" s="238" t="s">
        <v>2715</v>
      </c>
      <c r="H190" s="15"/>
      <c r="I190" s="26">
        <v>30800000</v>
      </c>
      <c r="J190" s="26">
        <v>30800000</v>
      </c>
      <c r="K190" s="100">
        <f t="shared" si="1"/>
        <v>0</v>
      </c>
    </row>
    <row r="191" spans="1:11" ht="15">
      <c r="A191" s="27">
        <v>44404</v>
      </c>
      <c r="B191" s="28" t="s">
        <v>2213</v>
      </c>
      <c r="C191" s="28" t="s">
        <v>2638</v>
      </c>
      <c r="D191" s="28" t="s">
        <v>2639</v>
      </c>
      <c r="E191" s="228" t="s">
        <v>1614</v>
      </c>
      <c r="F191" s="29"/>
      <c r="G191" s="238" t="s">
        <v>2716</v>
      </c>
      <c r="H191" s="15"/>
      <c r="I191" s="26">
        <v>13866667</v>
      </c>
      <c r="J191" s="26">
        <v>13346667</v>
      </c>
      <c r="K191" s="100">
        <f t="shared" si="1"/>
        <v>520000</v>
      </c>
    </row>
    <row r="192" spans="1:11" ht="15">
      <c r="A192" s="27">
        <v>44404</v>
      </c>
      <c r="B192" s="28" t="s">
        <v>2270</v>
      </c>
      <c r="C192" s="28" t="s">
        <v>2640</v>
      </c>
      <c r="D192" s="28" t="s">
        <v>2641</v>
      </c>
      <c r="E192" s="228" t="s">
        <v>1614</v>
      </c>
      <c r="F192" s="29"/>
      <c r="G192" s="238" t="s">
        <v>2717</v>
      </c>
      <c r="H192" s="15"/>
      <c r="I192" s="26">
        <v>13433333</v>
      </c>
      <c r="J192" s="26">
        <v>13346667</v>
      </c>
      <c r="K192" s="100">
        <f t="shared" si="1"/>
        <v>86666</v>
      </c>
    </row>
    <row r="193" spans="1:11" ht="15">
      <c r="A193" s="27">
        <v>44404</v>
      </c>
      <c r="B193" s="28" t="s">
        <v>2369</v>
      </c>
      <c r="C193" s="28" t="s">
        <v>2632</v>
      </c>
      <c r="D193" s="28" t="s">
        <v>2642</v>
      </c>
      <c r="E193" s="228" t="s">
        <v>2680</v>
      </c>
      <c r="F193" s="29"/>
      <c r="G193" s="238" t="s">
        <v>333</v>
      </c>
      <c r="H193" s="15"/>
      <c r="I193" s="26">
        <v>23060300</v>
      </c>
      <c r="J193" s="26">
        <v>22335133</v>
      </c>
      <c r="K193" s="100">
        <f t="shared" si="1"/>
        <v>725167</v>
      </c>
    </row>
    <row r="194" spans="1:11" ht="15">
      <c r="A194" s="27">
        <v>44404</v>
      </c>
      <c r="B194" s="28" t="s">
        <v>2216</v>
      </c>
      <c r="C194" s="28" t="s">
        <v>2643</v>
      </c>
      <c r="D194" s="28" t="s">
        <v>2644</v>
      </c>
      <c r="E194" s="228" t="s">
        <v>2672</v>
      </c>
      <c r="F194" s="29"/>
      <c r="G194" s="238" t="s">
        <v>2718</v>
      </c>
      <c r="H194" s="15"/>
      <c r="I194" s="26">
        <v>35466667</v>
      </c>
      <c r="J194" s="26">
        <v>34766667</v>
      </c>
      <c r="K194" s="100">
        <f t="shared" si="1"/>
        <v>700000</v>
      </c>
    </row>
    <row r="195" spans="1:11" ht="15">
      <c r="A195" s="27">
        <v>44404</v>
      </c>
      <c r="B195" s="28" t="s">
        <v>2727</v>
      </c>
      <c r="C195" s="28" t="s">
        <v>2645</v>
      </c>
      <c r="D195" s="28" t="s">
        <v>2646</v>
      </c>
      <c r="E195" s="228" t="s">
        <v>2681</v>
      </c>
      <c r="F195" s="29"/>
      <c r="G195" s="238" t="s">
        <v>628</v>
      </c>
      <c r="H195" s="15"/>
      <c r="I195" s="26">
        <v>25833333</v>
      </c>
      <c r="J195" s="26">
        <v>25500000</v>
      </c>
      <c r="K195" s="100">
        <f t="shared" si="1"/>
        <v>333333</v>
      </c>
    </row>
    <row r="196" spans="1:11" ht="15">
      <c r="A196" s="27">
        <v>44407</v>
      </c>
      <c r="B196" s="28" t="s">
        <v>2367</v>
      </c>
      <c r="C196" s="28" t="s">
        <v>2647</v>
      </c>
      <c r="D196" s="28" t="s">
        <v>2648</v>
      </c>
      <c r="E196" s="228" t="s">
        <v>2682</v>
      </c>
      <c r="F196" s="29"/>
      <c r="G196" s="238" t="s">
        <v>2719</v>
      </c>
      <c r="H196" s="15"/>
      <c r="I196" s="26">
        <v>35933333</v>
      </c>
      <c r="J196" s="26">
        <v>28700000</v>
      </c>
      <c r="K196" s="100">
        <f t="shared" si="1"/>
        <v>7233333</v>
      </c>
    </row>
    <row r="197" spans="1:11" ht="15">
      <c r="A197" s="27">
        <v>44405</v>
      </c>
      <c r="B197" s="28" t="s">
        <v>2273</v>
      </c>
      <c r="C197" s="28" t="s">
        <v>2620</v>
      </c>
      <c r="D197" s="28" t="s">
        <v>2645</v>
      </c>
      <c r="E197" s="228" t="s">
        <v>1860</v>
      </c>
      <c r="F197" s="29"/>
      <c r="G197" s="238" t="s">
        <v>319</v>
      </c>
      <c r="H197" s="15"/>
      <c r="I197" s="26">
        <v>13433333</v>
      </c>
      <c r="J197" s="26">
        <v>10486667</v>
      </c>
      <c r="K197" s="100">
        <f t="shared" si="1"/>
        <v>2946666</v>
      </c>
    </row>
    <row r="198" spans="1:11" ht="15">
      <c r="A198" s="27">
        <v>44405</v>
      </c>
      <c r="B198" s="28" t="s">
        <v>2271</v>
      </c>
      <c r="C198" s="28" t="s">
        <v>2649</v>
      </c>
      <c r="D198" s="28" t="s">
        <v>2650</v>
      </c>
      <c r="E198" s="228" t="s">
        <v>2683</v>
      </c>
      <c r="F198" s="29"/>
      <c r="G198" s="238" t="s">
        <v>410</v>
      </c>
      <c r="H198" s="15"/>
      <c r="I198" s="26">
        <v>31744000</v>
      </c>
      <c r="J198" s="26">
        <v>24371200</v>
      </c>
      <c r="K198" s="100">
        <f t="shared" si="1"/>
        <v>7372800</v>
      </c>
    </row>
    <row r="199" spans="1:11" ht="15">
      <c r="A199" s="27">
        <v>44405</v>
      </c>
      <c r="B199" s="28" t="s">
        <v>2728</v>
      </c>
      <c r="C199" s="28" t="s">
        <v>2419</v>
      </c>
      <c r="D199" s="28" t="s">
        <v>2651</v>
      </c>
      <c r="E199" s="228" t="s">
        <v>2684</v>
      </c>
      <c r="F199" s="29"/>
      <c r="G199" s="238" t="s">
        <v>2720</v>
      </c>
      <c r="H199" s="15"/>
      <c r="I199" s="26">
        <v>38500000</v>
      </c>
      <c r="J199" s="26">
        <v>38250000</v>
      </c>
      <c r="K199" s="100">
        <f t="shared" si="1"/>
        <v>250000</v>
      </c>
    </row>
    <row r="200" spans="1:11" ht="15">
      <c r="A200" s="27">
        <v>44406</v>
      </c>
      <c r="B200" s="28" t="s">
        <v>2280</v>
      </c>
      <c r="C200" s="28" t="s">
        <v>2652</v>
      </c>
      <c r="D200" s="28" t="s">
        <v>2653</v>
      </c>
      <c r="E200" s="228" t="s">
        <v>1860</v>
      </c>
      <c r="F200" s="29"/>
      <c r="G200" s="238" t="s">
        <v>2721</v>
      </c>
      <c r="H200" s="15"/>
      <c r="I200" s="26">
        <v>13866667</v>
      </c>
      <c r="J200" s="26">
        <v>10573333</v>
      </c>
      <c r="K200" s="100">
        <f t="shared" si="1"/>
        <v>3293334</v>
      </c>
    </row>
    <row r="201" spans="1:11" ht="15">
      <c r="A201" s="27">
        <v>44406</v>
      </c>
      <c r="B201" s="28" t="s">
        <v>1943</v>
      </c>
      <c r="C201" s="28" t="s">
        <v>2654</v>
      </c>
      <c r="D201" s="28" t="s">
        <v>2655</v>
      </c>
      <c r="E201" s="228" t="s">
        <v>1614</v>
      </c>
      <c r="F201" s="29"/>
      <c r="G201" s="238" t="s">
        <v>352</v>
      </c>
      <c r="H201" s="15"/>
      <c r="I201" s="26">
        <v>13433333</v>
      </c>
      <c r="J201" s="26">
        <v>10486667</v>
      </c>
      <c r="K201" s="100">
        <f t="shared" si="1"/>
        <v>2946666</v>
      </c>
    </row>
    <row r="202" spans="1:11" ht="15">
      <c r="A202" s="27">
        <v>44406</v>
      </c>
      <c r="B202" s="28" t="s">
        <v>2279</v>
      </c>
      <c r="C202" s="28" t="s">
        <v>2648</v>
      </c>
      <c r="D202" s="28" t="s">
        <v>2656</v>
      </c>
      <c r="E202" s="228" t="s">
        <v>2685</v>
      </c>
      <c r="F202" s="29"/>
      <c r="G202" s="238" t="s">
        <v>476</v>
      </c>
      <c r="H202" s="15"/>
      <c r="I202" s="26">
        <v>13433400</v>
      </c>
      <c r="J202" s="26">
        <v>13345600</v>
      </c>
      <c r="K202" s="100">
        <f t="shared" si="1"/>
        <v>87800</v>
      </c>
    </row>
    <row r="203" spans="1:11" ht="15">
      <c r="A203" s="27">
        <v>44406</v>
      </c>
      <c r="B203" s="28" t="s">
        <v>2282</v>
      </c>
      <c r="C203" s="28" t="s">
        <v>2657</v>
      </c>
      <c r="D203" s="28" t="s">
        <v>2658</v>
      </c>
      <c r="E203" s="228" t="s">
        <v>1614</v>
      </c>
      <c r="F203" s="29"/>
      <c r="G203" s="238" t="s">
        <v>2722</v>
      </c>
      <c r="H203" s="15"/>
      <c r="I203" s="26">
        <v>13000000</v>
      </c>
      <c r="J203" s="26">
        <v>10573333</v>
      </c>
      <c r="K203" s="100">
        <f t="shared" si="1"/>
        <v>2426667</v>
      </c>
    </row>
    <row r="204" spans="1:11" ht="15">
      <c r="A204" s="27">
        <v>44406</v>
      </c>
      <c r="B204" s="28" t="s">
        <v>2285</v>
      </c>
      <c r="C204" s="28" t="s">
        <v>2646</v>
      </c>
      <c r="D204" s="28" t="s">
        <v>2659</v>
      </c>
      <c r="E204" s="228" t="s">
        <v>2686</v>
      </c>
      <c r="F204" s="29"/>
      <c r="G204" s="238" t="s">
        <v>130</v>
      </c>
      <c r="H204" s="15"/>
      <c r="I204" s="26">
        <v>13433400</v>
      </c>
      <c r="J204" s="26">
        <v>13345600</v>
      </c>
      <c r="K204" s="100">
        <f t="shared" si="1"/>
        <v>87800</v>
      </c>
    </row>
    <row r="205" spans="1:11" ht="15">
      <c r="A205" s="27">
        <v>44406</v>
      </c>
      <c r="B205" s="28" t="s">
        <v>2338</v>
      </c>
      <c r="C205" s="28" t="s">
        <v>2421</v>
      </c>
      <c r="D205" s="28" t="s">
        <v>2660</v>
      </c>
      <c r="E205" s="228" t="s">
        <v>2687</v>
      </c>
      <c r="F205" s="29"/>
      <c r="G205" s="238" t="s">
        <v>220</v>
      </c>
      <c r="H205" s="15"/>
      <c r="I205" s="26">
        <v>20666667</v>
      </c>
      <c r="J205" s="26">
        <v>20266667</v>
      </c>
      <c r="K205" s="100">
        <f t="shared" si="1"/>
        <v>400000</v>
      </c>
    </row>
    <row r="206" spans="1:11" ht="15">
      <c r="A206" s="27">
        <v>44407</v>
      </c>
      <c r="B206" s="28" t="s">
        <v>2272</v>
      </c>
      <c r="C206" s="28" t="s">
        <v>2661</v>
      </c>
      <c r="D206" s="28" t="s">
        <v>2662</v>
      </c>
      <c r="E206" s="228" t="s">
        <v>1614</v>
      </c>
      <c r="F206" s="29"/>
      <c r="G206" s="238" t="s">
        <v>320</v>
      </c>
      <c r="H206" s="15"/>
      <c r="I206" s="26">
        <v>13433333</v>
      </c>
      <c r="J206" s="26">
        <v>13260000</v>
      </c>
      <c r="K206" s="100">
        <f t="shared" si="1"/>
        <v>173333</v>
      </c>
    </row>
    <row r="207" spans="1:11" ht="15">
      <c r="A207" s="27">
        <v>44407</v>
      </c>
      <c r="B207" s="28" t="s">
        <v>2217</v>
      </c>
      <c r="C207" s="28" t="s">
        <v>2663</v>
      </c>
      <c r="D207" s="28" t="s">
        <v>2664</v>
      </c>
      <c r="E207" s="228" t="s">
        <v>2688</v>
      </c>
      <c r="F207" s="29"/>
      <c r="G207" s="238" t="s">
        <v>1840</v>
      </c>
      <c r="H207" s="15"/>
      <c r="I207" s="26">
        <v>17733333</v>
      </c>
      <c r="J207" s="26">
        <v>17616667</v>
      </c>
      <c r="K207" s="100">
        <f t="shared" si="1"/>
        <v>116666</v>
      </c>
    </row>
    <row r="208" spans="1:11" ht="15">
      <c r="A208" s="27">
        <v>44407</v>
      </c>
      <c r="B208" s="28" t="s">
        <v>2729</v>
      </c>
      <c r="C208" s="28" t="s">
        <v>2639</v>
      </c>
      <c r="D208" s="28" t="s">
        <v>2665</v>
      </c>
      <c r="E208" s="228" t="s">
        <v>1614</v>
      </c>
      <c r="F208" s="29"/>
      <c r="G208" s="238" t="s">
        <v>2723</v>
      </c>
      <c r="H208" s="15"/>
      <c r="I208" s="26">
        <v>13433333</v>
      </c>
      <c r="J208" s="26">
        <v>13086667</v>
      </c>
      <c r="K208" s="100">
        <f t="shared" si="1"/>
        <v>346666</v>
      </c>
    </row>
    <row r="209" spans="1:11" ht="15">
      <c r="A209" s="27">
        <v>44407</v>
      </c>
      <c r="B209" s="28" t="s">
        <v>2390</v>
      </c>
      <c r="C209" s="28" t="s">
        <v>2530</v>
      </c>
      <c r="D209" s="28" t="s">
        <v>2666</v>
      </c>
      <c r="E209" s="228" t="s">
        <v>1614</v>
      </c>
      <c r="F209" s="29"/>
      <c r="G209" s="238" t="s">
        <v>384</v>
      </c>
      <c r="H209" s="15"/>
      <c r="I209" s="26">
        <v>13693333</v>
      </c>
      <c r="J209" s="26">
        <v>12913333</v>
      </c>
      <c r="K209" s="100">
        <f t="shared" si="1"/>
        <v>780000</v>
      </c>
    </row>
    <row r="210" spans="1:11" ht="15">
      <c r="A210" s="27">
        <v>44407</v>
      </c>
      <c r="B210" s="28" t="s">
        <v>2099</v>
      </c>
      <c r="C210" s="28" t="s">
        <v>2660</v>
      </c>
      <c r="D210" s="28" t="s">
        <v>2667</v>
      </c>
      <c r="E210" s="224" t="s">
        <v>2689</v>
      </c>
      <c r="F210" s="29"/>
      <c r="G210" s="239" t="s">
        <v>2724</v>
      </c>
      <c r="H210" s="15"/>
      <c r="I210" s="26">
        <v>26000000</v>
      </c>
      <c r="J210" s="26">
        <v>26000000</v>
      </c>
      <c r="K210" s="100">
        <f t="shared" si="1"/>
        <v>0</v>
      </c>
    </row>
    <row r="211" spans="1:11" ht="15">
      <c r="A211" s="166">
        <v>44410</v>
      </c>
      <c r="B211" s="28" t="s">
        <v>2372</v>
      </c>
      <c r="C211" s="168" t="s">
        <v>2429</v>
      </c>
      <c r="D211" s="28" t="s">
        <v>3017</v>
      </c>
      <c r="E211" s="224" t="s">
        <v>2741</v>
      </c>
      <c r="F211" s="29"/>
      <c r="G211" s="239" t="s">
        <v>136</v>
      </c>
      <c r="H211" s="15"/>
      <c r="I211" s="26">
        <v>13609000</v>
      </c>
      <c r="J211" s="26">
        <v>13082200</v>
      </c>
      <c r="K211" s="100">
        <f t="shared" si="1"/>
        <v>526800</v>
      </c>
    </row>
    <row r="212" spans="1:11" ht="15">
      <c r="A212" s="166">
        <v>44410</v>
      </c>
      <c r="B212" s="28" t="s">
        <v>2283</v>
      </c>
      <c r="C212" s="168" t="s">
        <v>2644</v>
      </c>
      <c r="D212" s="28" t="s">
        <v>2895</v>
      </c>
      <c r="E212" s="224" t="s">
        <v>3200</v>
      </c>
      <c r="F212" s="29"/>
      <c r="G212" s="239" t="s">
        <v>622</v>
      </c>
      <c r="H212" s="15"/>
      <c r="I212" s="26">
        <v>27858600</v>
      </c>
      <c r="J212" s="26">
        <v>26954100</v>
      </c>
      <c r="K212" s="100">
        <f t="shared" si="2" ref="K212:K288">+I212-J212</f>
        <v>904500</v>
      </c>
    </row>
    <row r="213" spans="1:11" ht="15">
      <c r="A213" s="166">
        <v>44410</v>
      </c>
      <c r="B213" s="28" t="s">
        <v>2211</v>
      </c>
      <c r="C213" s="168" t="s">
        <v>2781</v>
      </c>
      <c r="D213" s="28" t="s">
        <v>3138</v>
      </c>
      <c r="E213" s="224" t="s">
        <v>1614</v>
      </c>
      <c r="F213" s="29"/>
      <c r="G213" s="239" t="s">
        <v>321</v>
      </c>
      <c r="H213" s="15"/>
      <c r="I213" s="26">
        <v>13346667</v>
      </c>
      <c r="J213" s="26">
        <v>12653333</v>
      </c>
      <c r="K213" s="100">
        <f t="shared" si="2"/>
        <v>693334</v>
      </c>
    </row>
    <row r="214" spans="1:11" ht="15">
      <c r="A214" s="166">
        <v>44411</v>
      </c>
      <c r="B214" s="28" t="s">
        <v>2731</v>
      </c>
      <c r="C214" s="168" t="s">
        <v>2427</v>
      </c>
      <c r="D214" s="28" t="s">
        <v>3060</v>
      </c>
      <c r="E214" s="224" t="s">
        <v>3201</v>
      </c>
      <c r="F214" s="29"/>
      <c r="G214" s="239" t="s">
        <v>3189</v>
      </c>
      <c r="H214" s="15"/>
      <c r="I214" s="26">
        <v>17566667</v>
      </c>
      <c r="J214" s="26">
        <v>16886667</v>
      </c>
      <c r="K214" s="100">
        <f t="shared" si="2"/>
        <v>680000</v>
      </c>
    </row>
    <row r="215" spans="1:11" ht="15">
      <c r="A215" s="166">
        <v>44412</v>
      </c>
      <c r="B215" s="28" t="s">
        <v>2221</v>
      </c>
      <c r="C215" s="168" t="s">
        <v>2636</v>
      </c>
      <c r="D215" s="28" t="s">
        <v>3076</v>
      </c>
      <c r="E215" s="224" t="s">
        <v>1614</v>
      </c>
      <c r="F215" s="29"/>
      <c r="G215" s="239" t="s">
        <v>3190</v>
      </c>
      <c r="H215" s="15"/>
      <c r="I215" s="26">
        <v>13866667</v>
      </c>
      <c r="J215" s="26">
        <v>10053333</v>
      </c>
      <c r="K215" s="100">
        <f t="shared" si="2"/>
        <v>3813334</v>
      </c>
    </row>
    <row r="216" spans="1:11" ht="15">
      <c r="A216" s="166">
        <v>44412</v>
      </c>
      <c r="B216" s="28" t="s">
        <v>2008</v>
      </c>
      <c r="C216" s="168" t="s">
        <v>2535</v>
      </c>
      <c r="D216" s="28" t="s">
        <v>3139</v>
      </c>
      <c r="E216" s="224" t="s">
        <v>3202</v>
      </c>
      <c r="F216" s="29"/>
      <c r="G216" s="239" t="s">
        <v>390</v>
      </c>
      <c r="H216" s="15"/>
      <c r="I216" s="26">
        <v>26112000</v>
      </c>
      <c r="J216" s="26">
        <v>24917333</v>
      </c>
      <c r="K216" s="100">
        <f t="shared" si="2"/>
        <v>1194667</v>
      </c>
    </row>
    <row r="217" spans="1:11" ht="15">
      <c r="A217" s="166">
        <v>44413</v>
      </c>
      <c r="B217" s="28" t="s">
        <v>2952</v>
      </c>
      <c r="C217" s="168" t="s">
        <v>1189</v>
      </c>
      <c r="D217" s="28" t="s">
        <v>3140</v>
      </c>
      <c r="E217" s="224" t="s">
        <v>3203</v>
      </c>
      <c r="F217" s="29"/>
      <c r="G217" s="239" t="s">
        <v>1165</v>
      </c>
      <c r="H217" s="15"/>
      <c r="I217" s="26">
        <v>9464000</v>
      </c>
      <c r="J217" s="26">
        <v>9464000</v>
      </c>
      <c r="K217" s="100">
        <f t="shared" si="2"/>
        <v>0</v>
      </c>
    </row>
    <row r="218" spans="1:11" ht="15">
      <c r="A218" s="166">
        <v>44413</v>
      </c>
      <c r="B218" s="28" t="s">
        <v>2290</v>
      </c>
      <c r="C218" s="168" t="s">
        <v>3141</v>
      </c>
      <c r="D218" s="28" t="s">
        <v>3142</v>
      </c>
      <c r="E218" s="224" t="s">
        <v>3204</v>
      </c>
      <c r="F218" s="29"/>
      <c r="G218" s="239" t="s">
        <v>3191</v>
      </c>
      <c r="H218" s="15"/>
      <c r="I218" s="26">
        <v>12906600</v>
      </c>
      <c r="J218" s="26">
        <v>12818800</v>
      </c>
      <c r="K218" s="100">
        <f t="shared" si="2"/>
        <v>87800</v>
      </c>
    </row>
    <row r="219" spans="1:11" ht="15">
      <c r="A219" s="166">
        <v>44417</v>
      </c>
      <c r="B219" s="28" t="s">
        <v>2374</v>
      </c>
      <c r="C219" s="168" t="s">
        <v>2854</v>
      </c>
      <c r="D219" s="28" t="s">
        <v>2928</v>
      </c>
      <c r="E219" s="224" t="s">
        <v>3205</v>
      </c>
      <c r="F219" s="29"/>
      <c r="G219" s="239" t="s">
        <v>72</v>
      </c>
      <c r="H219" s="15"/>
      <c r="I219" s="26">
        <v>24083500</v>
      </c>
      <c r="J219" s="26">
        <v>23264333</v>
      </c>
      <c r="K219" s="100">
        <f t="shared" si="2"/>
        <v>819167</v>
      </c>
    </row>
    <row r="220" spans="1:11" ht="15">
      <c r="A220" s="166">
        <v>44417</v>
      </c>
      <c r="B220" s="28" t="s">
        <v>2345</v>
      </c>
      <c r="C220" s="168" t="s">
        <v>3143</v>
      </c>
      <c r="D220" s="28" t="s">
        <v>3144</v>
      </c>
      <c r="E220" s="224" t="s">
        <v>3206</v>
      </c>
      <c r="F220" s="29"/>
      <c r="G220" s="239" t="s">
        <v>3192</v>
      </c>
      <c r="H220" s="15"/>
      <c r="I220" s="26">
        <v>21750000</v>
      </c>
      <c r="J220" s="26">
        <v>16800000</v>
      </c>
      <c r="K220" s="100">
        <f t="shared" si="2"/>
        <v>4950000</v>
      </c>
    </row>
    <row r="221" spans="1:11" ht="15">
      <c r="A221" s="166">
        <v>44417</v>
      </c>
      <c r="B221" s="28" t="s">
        <v>2286</v>
      </c>
      <c r="C221" s="168" t="s">
        <v>3145</v>
      </c>
      <c r="D221" s="28" t="s">
        <v>2941</v>
      </c>
      <c r="E221" s="224" t="s">
        <v>3207</v>
      </c>
      <c r="F221" s="29"/>
      <c r="G221" s="239" t="s">
        <v>3193</v>
      </c>
      <c r="H221" s="15"/>
      <c r="I221" s="26">
        <v>34066667</v>
      </c>
      <c r="J221" s="26">
        <v>25666667</v>
      </c>
      <c r="K221" s="100">
        <f t="shared" si="2"/>
        <v>8400000</v>
      </c>
    </row>
    <row r="222" spans="1:11" ht="15">
      <c r="A222" s="166">
        <v>44417</v>
      </c>
      <c r="B222" s="28" t="s">
        <v>2225</v>
      </c>
      <c r="C222" s="168" t="s">
        <v>3146</v>
      </c>
      <c r="D222" s="28" t="s">
        <v>3147</v>
      </c>
      <c r="E222" s="224" t="s">
        <v>3208</v>
      </c>
      <c r="F222" s="29"/>
      <c r="G222" s="239" t="s">
        <v>3194</v>
      </c>
      <c r="H222" s="15"/>
      <c r="I222" s="26">
        <v>13000000</v>
      </c>
      <c r="J222" s="26">
        <v>12220000</v>
      </c>
      <c r="K222" s="100">
        <f t="shared" si="2"/>
        <v>780000</v>
      </c>
    </row>
    <row r="223" spans="1:11" ht="15">
      <c r="A223" s="166">
        <v>44418</v>
      </c>
      <c r="B223" s="28" t="s">
        <v>3223</v>
      </c>
      <c r="C223" s="168" t="s">
        <v>3148</v>
      </c>
      <c r="D223" s="28" t="s">
        <v>3149</v>
      </c>
      <c r="E223" s="224" t="s">
        <v>1614</v>
      </c>
      <c r="F223" s="29"/>
      <c r="G223" s="239" t="s">
        <v>210</v>
      </c>
      <c r="H223" s="15"/>
      <c r="I223" s="26">
        <v>12913333</v>
      </c>
      <c r="J223" s="26">
        <v>12306667</v>
      </c>
      <c r="K223" s="100">
        <f t="shared" si="2"/>
        <v>606666</v>
      </c>
    </row>
    <row r="224" spans="1:11" ht="15">
      <c r="A224" s="166">
        <v>44418</v>
      </c>
      <c r="B224" s="28" t="s">
        <v>2484</v>
      </c>
      <c r="C224" s="168" t="s">
        <v>3150</v>
      </c>
      <c r="D224" s="28" t="s">
        <v>3151</v>
      </c>
      <c r="E224" s="224" t="s">
        <v>1614</v>
      </c>
      <c r="F224" s="29"/>
      <c r="G224" s="239" t="s">
        <v>3195</v>
      </c>
      <c r="H224" s="15"/>
      <c r="I224" s="26">
        <v>12913333</v>
      </c>
      <c r="J224" s="26">
        <v>12133333</v>
      </c>
      <c r="K224" s="100">
        <f t="shared" si="2"/>
        <v>780000</v>
      </c>
    </row>
    <row r="225" spans="1:11" ht="15">
      <c r="A225" s="166">
        <v>44418</v>
      </c>
      <c r="B225" s="28" t="s">
        <v>2294</v>
      </c>
      <c r="C225" s="168" t="s">
        <v>3152</v>
      </c>
      <c r="D225" s="28" t="s">
        <v>3153</v>
      </c>
      <c r="E225" s="224" t="s">
        <v>1614</v>
      </c>
      <c r="F225" s="29"/>
      <c r="G225" s="239" t="s">
        <v>1147</v>
      </c>
      <c r="H225" s="15"/>
      <c r="I225" s="26">
        <v>13000000</v>
      </c>
      <c r="J225" s="26">
        <v>9620000</v>
      </c>
      <c r="K225" s="100">
        <f t="shared" si="2"/>
        <v>3380000</v>
      </c>
    </row>
    <row r="226" spans="1:11" ht="15">
      <c r="A226" s="166">
        <v>44420</v>
      </c>
      <c r="B226" s="28" t="s">
        <v>2752</v>
      </c>
      <c r="C226" s="168" t="s">
        <v>3154</v>
      </c>
      <c r="D226" s="28" t="s">
        <v>3155</v>
      </c>
      <c r="E226" s="224" t="s">
        <v>3209</v>
      </c>
      <c r="F226" s="29"/>
      <c r="G226" s="239" t="s">
        <v>142</v>
      </c>
      <c r="H226" s="15"/>
      <c r="I226" s="26">
        <v>43800000</v>
      </c>
      <c r="J226" s="26">
        <v>41700000</v>
      </c>
      <c r="K226" s="100">
        <f t="shared" si="2"/>
        <v>2100000</v>
      </c>
    </row>
    <row r="227" spans="1:11" ht="15">
      <c r="A227" s="166">
        <v>44420</v>
      </c>
      <c r="B227" s="28" t="s">
        <v>2399</v>
      </c>
      <c r="C227" s="168" t="s">
        <v>3156</v>
      </c>
      <c r="D227" s="28" t="s">
        <v>3157</v>
      </c>
      <c r="E227" s="224" t="s">
        <v>3210</v>
      </c>
      <c r="F227" s="29"/>
      <c r="G227" s="239" t="s">
        <v>181</v>
      </c>
      <c r="H227" s="15"/>
      <c r="I227" s="26">
        <v>8704000</v>
      </c>
      <c r="J227" s="26">
        <v>7775573</v>
      </c>
      <c r="K227" s="100">
        <f t="shared" si="2"/>
        <v>928427</v>
      </c>
    </row>
    <row r="228" spans="1:11" ht="15">
      <c r="A228" s="166">
        <v>44421</v>
      </c>
      <c r="B228" s="28" t="s">
        <v>2512</v>
      </c>
      <c r="C228" s="168" t="s">
        <v>3158</v>
      </c>
      <c r="D228" s="28" t="s">
        <v>3159</v>
      </c>
      <c r="E228" s="224" t="s">
        <v>2672</v>
      </c>
      <c r="F228" s="29"/>
      <c r="G228" s="239" t="s">
        <v>1154</v>
      </c>
      <c r="H228" s="15"/>
      <c r="I228" s="26">
        <v>20642066</v>
      </c>
      <c r="J228" s="26">
        <v>19915233</v>
      </c>
      <c r="K228" s="100">
        <f t="shared" si="2"/>
        <v>726833</v>
      </c>
    </row>
    <row r="229" spans="1:11" ht="15">
      <c r="A229" s="166">
        <v>44421</v>
      </c>
      <c r="B229" s="28" t="s">
        <v>2112</v>
      </c>
      <c r="C229" s="168" t="s">
        <v>2889</v>
      </c>
      <c r="D229" s="28" t="s">
        <v>2890</v>
      </c>
      <c r="E229" s="224" t="s">
        <v>2988</v>
      </c>
      <c r="F229" s="29"/>
      <c r="G229" s="239" t="s">
        <v>2946</v>
      </c>
      <c r="H229" s="15"/>
      <c r="I229" s="26">
        <v>5000000</v>
      </c>
      <c r="J229" s="26">
        <v>5000000</v>
      </c>
      <c r="K229" s="100">
        <f t="shared" si="2"/>
        <v>0</v>
      </c>
    </row>
    <row r="230" spans="1:11" ht="15">
      <c r="A230" s="166">
        <v>44421</v>
      </c>
      <c r="B230" s="28" t="s">
        <v>2112</v>
      </c>
      <c r="C230" s="168" t="s">
        <v>2889</v>
      </c>
      <c r="D230" s="28" t="s">
        <v>2890</v>
      </c>
      <c r="E230" s="224" t="s">
        <v>2988</v>
      </c>
      <c r="F230" s="29"/>
      <c r="G230" s="239" t="s">
        <v>2946</v>
      </c>
      <c r="H230" s="15"/>
      <c r="I230" s="26">
        <f>10000000-13526</f>
        <v>9986474</v>
      </c>
      <c r="J230" s="26">
        <v>9986474</v>
      </c>
      <c r="K230" s="100">
        <f t="shared" si="2"/>
        <v>0</v>
      </c>
    </row>
    <row r="231" spans="1:11" ht="15">
      <c r="A231" s="166">
        <v>44425</v>
      </c>
      <c r="B231" s="28" t="s">
        <v>2590</v>
      </c>
      <c r="C231" s="168" t="s">
        <v>3014</v>
      </c>
      <c r="D231" s="28" t="s">
        <v>3160</v>
      </c>
      <c r="E231" s="224" t="s">
        <v>3211</v>
      </c>
      <c r="F231" s="29"/>
      <c r="G231" s="239" t="s">
        <v>1157</v>
      </c>
      <c r="H231" s="15"/>
      <c r="I231" s="26">
        <v>7933333</v>
      </c>
      <c r="J231" s="26">
        <v>7593333</v>
      </c>
      <c r="K231" s="100">
        <f t="shared" si="2"/>
        <v>340000</v>
      </c>
    </row>
    <row r="232" spans="1:11" ht="15">
      <c r="A232" s="166">
        <v>44425</v>
      </c>
      <c r="B232" s="28" t="s">
        <v>2498</v>
      </c>
      <c r="C232" s="168" t="s">
        <v>3161</v>
      </c>
      <c r="D232" s="28" t="s">
        <v>3162</v>
      </c>
      <c r="E232" s="224" t="s">
        <v>3212</v>
      </c>
      <c r="F232" s="29"/>
      <c r="G232" s="239" t="s">
        <v>3196</v>
      </c>
      <c r="H232" s="15"/>
      <c r="I232" s="26">
        <v>12826667</v>
      </c>
      <c r="J232" s="26">
        <v>8840000</v>
      </c>
      <c r="K232" s="100">
        <f t="shared" si="2"/>
        <v>3986667</v>
      </c>
    </row>
    <row r="233" spans="1:11" ht="15">
      <c r="A233" s="166">
        <v>44425</v>
      </c>
      <c r="B233" s="28" t="s">
        <v>2491</v>
      </c>
      <c r="C233" s="168" t="s">
        <v>3163</v>
      </c>
      <c r="D233" s="28" t="s">
        <v>3164</v>
      </c>
      <c r="E233" s="224" t="s">
        <v>3213</v>
      </c>
      <c r="F233" s="29"/>
      <c r="G233" s="239" t="s">
        <v>73</v>
      </c>
      <c r="H233" s="15"/>
      <c r="I233" s="26">
        <v>20205614</v>
      </c>
      <c r="J233" s="26">
        <v>19478789</v>
      </c>
      <c r="K233" s="100">
        <f t="shared" si="2"/>
        <v>726825</v>
      </c>
    </row>
    <row r="234" spans="1:11" ht="15">
      <c r="A234" s="166">
        <v>44427</v>
      </c>
      <c r="B234" s="28" t="s">
        <v>2499</v>
      </c>
      <c r="C234" s="168" t="s">
        <v>3165</v>
      </c>
      <c r="D234" s="28" t="s">
        <v>3166</v>
      </c>
      <c r="E234" s="224" t="s">
        <v>2672</v>
      </c>
      <c r="F234" s="29"/>
      <c r="G234" s="239" t="s">
        <v>1159</v>
      </c>
      <c r="H234" s="15"/>
      <c r="I234" s="26">
        <v>22869333</v>
      </c>
      <c r="J234" s="26">
        <v>22528000</v>
      </c>
      <c r="K234" s="100">
        <f t="shared" si="2"/>
        <v>341333</v>
      </c>
    </row>
    <row r="235" spans="1:11" ht="15">
      <c r="A235" s="166">
        <v>44428</v>
      </c>
      <c r="B235" s="28" t="s">
        <v>2756</v>
      </c>
      <c r="C235" s="168" t="s">
        <v>3167</v>
      </c>
      <c r="D235" s="28" t="s">
        <v>3168</v>
      </c>
      <c r="E235" s="224" t="s">
        <v>3214</v>
      </c>
      <c r="F235" s="29"/>
      <c r="G235" s="239" t="s">
        <v>1162</v>
      </c>
      <c r="H235" s="15"/>
      <c r="I235" s="26">
        <v>16846667</v>
      </c>
      <c r="J235" s="26">
        <v>16593333</v>
      </c>
      <c r="K235" s="100">
        <f t="shared" si="2"/>
        <v>253334</v>
      </c>
    </row>
    <row r="236" spans="1:11" ht="15">
      <c r="A236" s="166">
        <v>44428</v>
      </c>
      <c r="B236" s="28" t="s">
        <v>2614</v>
      </c>
      <c r="C236" s="168" t="s">
        <v>3021</v>
      </c>
      <c r="D236" s="28" t="s">
        <v>3169</v>
      </c>
      <c r="E236" s="224" t="s">
        <v>1614</v>
      </c>
      <c r="F236" s="29"/>
      <c r="G236" s="239" t="s">
        <v>1155</v>
      </c>
      <c r="H236" s="15"/>
      <c r="I236" s="26">
        <v>8116166</v>
      </c>
      <c r="J236" s="26">
        <v>5451156</v>
      </c>
      <c r="K236" s="100">
        <f t="shared" si="2"/>
        <v>2665010</v>
      </c>
    </row>
    <row r="237" spans="1:11" ht="15">
      <c r="A237" s="166">
        <v>44431</v>
      </c>
      <c r="B237" s="28" t="s">
        <v>2760</v>
      </c>
      <c r="C237" s="168" t="s">
        <v>3170</v>
      </c>
      <c r="D237" s="28" t="s">
        <v>3171</v>
      </c>
      <c r="E237" s="224" t="s">
        <v>1614</v>
      </c>
      <c r="F237" s="29"/>
      <c r="G237" s="239" t="s">
        <v>1156</v>
      </c>
      <c r="H237" s="15"/>
      <c r="I237" s="26">
        <v>11960000</v>
      </c>
      <c r="J237" s="26">
        <v>8320000</v>
      </c>
      <c r="K237" s="100">
        <f t="shared" si="2"/>
        <v>3640000</v>
      </c>
    </row>
    <row r="238" spans="1:11" ht="15">
      <c r="A238" s="166">
        <v>44431</v>
      </c>
      <c r="B238" s="28" t="s">
        <v>2758</v>
      </c>
      <c r="C238" s="168" t="s">
        <v>3023</v>
      </c>
      <c r="D238" s="28" t="s">
        <v>3172</v>
      </c>
      <c r="E238" s="224" t="s">
        <v>3215</v>
      </c>
      <c r="F238" s="29"/>
      <c r="G238" s="239" t="s">
        <v>1148</v>
      </c>
      <c r="H238" s="15"/>
      <c r="I238" s="26">
        <v>15516667</v>
      </c>
      <c r="J238" s="26">
        <v>11316667</v>
      </c>
      <c r="K238" s="100">
        <f t="shared" si="2"/>
        <v>4200000</v>
      </c>
    </row>
    <row r="239" spans="1:11" ht="15">
      <c r="A239" s="166">
        <v>44431</v>
      </c>
      <c r="B239" s="28" t="s">
        <v>2507</v>
      </c>
      <c r="C239" s="168" t="s">
        <v>3173</v>
      </c>
      <c r="D239" s="28" t="s">
        <v>3174</v>
      </c>
      <c r="E239" s="224" t="s">
        <v>3216</v>
      </c>
      <c r="F239" s="29"/>
      <c r="G239" s="239" t="s">
        <v>3197</v>
      </c>
      <c r="H239" s="15"/>
      <c r="I239" s="26">
        <v>20351333</v>
      </c>
      <c r="J239" s="26">
        <v>17444000</v>
      </c>
      <c r="K239" s="100">
        <f t="shared" si="2"/>
        <v>2907333</v>
      </c>
    </row>
    <row r="240" spans="1:11" ht="15">
      <c r="A240" s="166">
        <v>44431</v>
      </c>
      <c r="B240" s="28" t="s">
        <v>2489</v>
      </c>
      <c r="C240" s="168" t="s">
        <v>2860</v>
      </c>
      <c r="D240" s="28" t="s">
        <v>3175</v>
      </c>
      <c r="E240" s="224" t="s">
        <v>3217</v>
      </c>
      <c r="F240" s="29"/>
      <c r="G240" s="239" t="s">
        <v>351</v>
      </c>
      <c r="H240" s="15"/>
      <c r="I240" s="26">
        <v>11304960</v>
      </c>
      <c r="J240" s="26">
        <v>8028160</v>
      </c>
      <c r="K240" s="100">
        <f t="shared" si="2"/>
        <v>3276800</v>
      </c>
    </row>
    <row r="241" spans="1:11" ht="15">
      <c r="A241" s="166">
        <v>44431</v>
      </c>
      <c r="B241" s="28" t="s">
        <v>2505</v>
      </c>
      <c r="C241" s="168" t="s">
        <v>3025</v>
      </c>
      <c r="D241" s="28" t="s">
        <v>3176</v>
      </c>
      <c r="E241" s="224" t="s">
        <v>1614</v>
      </c>
      <c r="F241" s="29"/>
      <c r="G241" s="239" t="s">
        <v>1151</v>
      </c>
      <c r="H241" s="15"/>
      <c r="I241" s="26">
        <v>11960000</v>
      </c>
      <c r="J241" s="26">
        <v>11006667</v>
      </c>
      <c r="K241" s="100">
        <f t="shared" si="2"/>
        <v>953333</v>
      </c>
    </row>
    <row r="242" spans="1:11" ht="15">
      <c r="A242" s="166">
        <v>44431</v>
      </c>
      <c r="B242" s="28" t="s">
        <v>2757</v>
      </c>
      <c r="C242" s="168" t="s">
        <v>3026</v>
      </c>
      <c r="D242" s="28" t="s">
        <v>3177</v>
      </c>
      <c r="E242" s="224" t="s">
        <v>3218</v>
      </c>
      <c r="F242" s="29"/>
      <c r="G242" s="239" t="s">
        <v>1169</v>
      </c>
      <c r="H242" s="15"/>
      <c r="I242" s="26">
        <v>11093333</v>
      </c>
      <c r="J242" s="26">
        <v>10400000</v>
      </c>
      <c r="K242" s="100">
        <f t="shared" si="2"/>
        <v>693333</v>
      </c>
    </row>
    <row r="243" spans="1:11" ht="15">
      <c r="A243" s="166">
        <v>44432</v>
      </c>
      <c r="B243" s="28" t="s">
        <v>2602</v>
      </c>
      <c r="C243" s="168" t="s">
        <v>3178</v>
      </c>
      <c r="D243" s="28" t="s">
        <v>3179</v>
      </c>
      <c r="E243" s="224" t="s">
        <v>1860</v>
      </c>
      <c r="F243" s="29"/>
      <c r="G243" s="239" t="s">
        <v>1166</v>
      </c>
      <c r="H243" s="15"/>
      <c r="I243" s="26">
        <v>11093333</v>
      </c>
      <c r="J243" s="26">
        <v>10920000</v>
      </c>
      <c r="K243" s="100">
        <f t="shared" si="2"/>
        <v>173333</v>
      </c>
    </row>
    <row r="244" spans="1:11" ht="15">
      <c r="A244" s="166">
        <v>44433</v>
      </c>
      <c r="B244" s="28" t="s">
        <v>3224</v>
      </c>
      <c r="C244" s="168" t="s">
        <v>3180</v>
      </c>
      <c r="D244" s="28" t="s">
        <v>3181</v>
      </c>
      <c r="E244" s="224" t="s">
        <v>3219</v>
      </c>
      <c r="F244" s="29"/>
      <c r="G244" s="239" t="s">
        <v>1170</v>
      </c>
      <c r="H244" s="15"/>
      <c r="I244" s="26">
        <v>0</v>
      </c>
      <c r="J244" s="26">
        <v>0</v>
      </c>
      <c r="K244" s="100">
        <f t="shared" si="2"/>
        <v>0</v>
      </c>
    </row>
    <row r="245" spans="1:11" ht="15">
      <c r="A245" s="166">
        <v>44434</v>
      </c>
      <c r="B245" s="28" t="s">
        <v>2764</v>
      </c>
      <c r="C245" s="168" t="s">
        <v>3140</v>
      </c>
      <c r="D245" s="28" t="s">
        <v>3182</v>
      </c>
      <c r="E245" s="224" t="s">
        <v>3220</v>
      </c>
      <c r="F245" s="29"/>
      <c r="G245" s="239" t="s">
        <v>1161</v>
      </c>
      <c r="H245" s="15"/>
      <c r="I245" s="26">
        <v>35466666</v>
      </c>
      <c r="J245" s="26">
        <v>25333333</v>
      </c>
      <c r="K245" s="100">
        <f t="shared" si="2"/>
        <v>10133333</v>
      </c>
    </row>
    <row r="246" spans="1:11" ht="15">
      <c r="A246" s="166">
        <v>44434</v>
      </c>
      <c r="B246" s="28" t="s">
        <v>3224</v>
      </c>
      <c r="C246" s="168" t="s">
        <v>3180</v>
      </c>
      <c r="D246" s="28" t="s">
        <v>3183</v>
      </c>
      <c r="E246" s="224" t="s">
        <v>3219</v>
      </c>
      <c r="F246" s="29"/>
      <c r="G246" s="239" t="s">
        <v>1170</v>
      </c>
      <c r="H246" s="15"/>
      <c r="I246" s="26">
        <v>21115050</v>
      </c>
      <c r="J246" s="26">
        <v>20782533</v>
      </c>
      <c r="K246" s="100">
        <f t="shared" si="2"/>
        <v>332517</v>
      </c>
    </row>
    <row r="247" spans="1:11" ht="15">
      <c r="A247" s="166">
        <v>44435</v>
      </c>
      <c r="B247" s="28" t="s">
        <v>2409</v>
      </c>
      <c r="C247" s="168" t="s">
        <v>3030</v>
      </c>
      <c r="D247" s="28" t="s">
        <v>3184</v>
      </c>
      <c r="E247" s="224" t="s">
        <v>2675</v>
      </c>
      <c r="F247" s="29"/>
      <c r="G247" s="239" t="s">
        <v>1153</v>
      </c>
      <c r="H247" s="15"/>
      <c r="I247" s="26">
        <v>19188400</v>
      </c>
      <c r="J247" s="26">
        <v>18025467</v>
      </c>
      <c r="K247" s="100">
        <f t="shared" si="2"/>
        <v>1162933</v>
      </c>
    </row>
    <row r="248" spans="1:11" ht="15">
      <c r="A248" s="166">
        <v>44438</v>
      </c>
      <c r="B248" s="28" t="s">
        <v>2605</v>
      </c>
      <c r="C248" s="168" t="s">
        <v>3027</v>
      </c>
      <c r="D248" s="28" t="s">
        <v>3185</v>
      </c>
      <c r="E248" s="224" t="s">
        <v>3221</v>
      </c>
      <c r="F248" s="29"/>
      <c r="G248" s="239" t="s">
        <v>1163</v>
      </c>
      <c r="H248" s="15"/>
      <c r="I248" s="26">
        <v>11440000</v>
      </c>
      <c r="J248" s="26">
        <v>7886667</v>
      </c>
      <c r="K248" s="100">
        <f t="shared" si="2"/>
        <v>3553333</v>
      </c>
    </row>
    <row r="249" spans="1:11" ht="15">
      <c r="A249" s="166">
        <v>44438</v>
      </c>
      <c r="B249" s="28" t="s">
        <v>2511</v>
      </c>
      <c r="C249" s="168" t="s">
        <v>3186</v>
      </c>
      <c r="D249" s="28" t="s">
        <v>3187</v>
      </c>
      <c r="E249" s="224" t="s">
        <v>1614</v>
      </c>
      <c r="F249" s="29"/>
      <c r="G249" s="239" t="s">
        <v>3198</v>
      </c>
      <c r="H249" s="15"/>
      <c r="I249" s="26">
        <v>10920000</v>
      </c>
      <c r="J249" s="26">
        <v>7020000</v>
      </c>
      <c r="K249" s="100">
        <f t="shared" si="2"/>
        <v>3900000</v>
      </c>
    </row>
    <row r="250" spans="1:11" ht="15">
      <c r="A250" s="166">
        <v>44438</v>
      </c>
      <c r="B250" s="28" t="s">
        <v>2519</v>
      </c>
      <c r="C250" s="168" t="s">
        <v>2855</v>
      </c>
      <c r="D250" s="28" t="s">
        <v>3188</v>
      </c>
      <c r="E250" s="224" t="s">
        <v>3222</v>
      </c>
      <c r="F250" s="29"/>
      <c r="G250" s="239" t="s">
        <v>3199</v>
      </c>
      <c r="H250" s="15"/>
      <c r="I250" s="26">
        <v>288966354</v>
      </c>
      <c r="J250" s="26">
        <v>0</v>
      </c>
      <c r="K250" s="100">
        <f t="shared" si="2"/>
        <v>288966354</v>
      </c>
    </row>
    <row r="251" spans="1:11" ht="15">
      <c r="A251" s="166">
        <v>44440</v>
      </c>
      <c r="B251" s="28">
        <v>1204</v>
      </c>
      <c r="C251" s="168">
        <v>1331</v>
      </c>
      <c r="D251" s="168">
        <v>1622</v>
      </c>
      <c r="E251" s="224" t="s">
        <v>3367</v>
      </c>
      <c r="F251" s="184"/>
      <c r="G251" s="239" t="s">
        <v>3357</v>
      </c>
      <c r="H251" s="15"/>
      <c r="I251" s="26">
        <v>17694212</v>
      </c>
      <c r="J251" s="26">
        <v>17337212</v>
      </c>
      <c r="K251" s="100">
        <f t="shared" si="2"/>
        <v>357000</v>
      </c>
    </row>
    <row r="252" spans="1:11" ht="15">
      <c r="A252" s="166">
        <v>44440</v>
      </c>
      <c r="B252" s="28">
        <v>1207</v>
      </c>
      <c r="C252" s="168">
        <v>1473</v>
      </c>
      <c r="D252" s="168">
        <v>1625</v>
      </c>
      <c r="E252" s="224" t="s">
        <v>3368</v>
      </c>
      <c r="F252" s="184"/>
      <c r="G252" s="239" t="s">
        <v>3358</v>
      </c>
      <c r="H252" s="15"/>
      <c r="I252" s="26">
        <v>10400000</v>
      </c>
      <c r="J252" s="26">
        <v>0</v>
      </c>
      <c r="K252" s="100">
        <f t="shared" si="2"/>
        <v>10400000</v>
      </c>
    </row>
    <row r="253" spans="1:11" ht="15">
      <c r="A253" s="166">
        <v>44440</v>
      </c>
      <c r="B253" s="28">
        <v>1201</v>
      </c>
      <c r="C253" s="168">
        <v>1478</v>
      </c>
      <c r="D253" s="168">
        <v>1626</v>
      </c>
      <c r="E253" s="224" t="s">
        <v>3369</v>
      </c>
      <c r="F253" s="184"/>
      <c r="G253" s="239" t="s">
        <v>3359</v>
      </c>
      <c r="H253" s="15"/>
      <c r="I253" s="26">
        <v>18000000</v>
      </c>
      <c r="J253" s="26">
        <v>17850000</v>
      </c>
      <c r="K253" s="100">
        <f t="shared" si="2"/>
        <v>150000</v>
      </c>
    </row>
    <row r="254" spans="1:11" ht="15">
      <c r="A254" s="166">
        <v>44442</v>
      </c>
      <c r="B254" s="28">
        <v>1215</v>
      </c>
      <c r="C254" s="168">
        <v>1492</v>
      </c>
      <c r="D254" s="168">
        <v>1637</v>
      </c>
      <c r="E254" s="224" t="s">
        <v>1614</v>
      </c>
      <c r="F254" s="184"/>
      <c r="G254" s="239" t="s">
        <v>3360</v>
      </c>
      <c r="H254" s="15"/>
      <c r="I254" s="26">
        <v>10226667</v>
      </c>
      <c r="J254" s="26">
        <v>10226667</v>
      </c>
      <c r="K254" s="100">
        <f t="shared" si="2"/>
        <v>0</v>
      </c>
    </row>
    <row r="255" spans="1:11" ht="15">
      <c r="A255" s="166">
        <v>44446</v>
      </c>
      <c r="B255" s="28">
        <v>53182849</v>
      </c>
      <c r="C255" s="168">
        <v>526</v>
      </c>
      <c r="D255" s="168">
        <v>1646</v>
      </c>
      <c r="E255" s="224" t="s">
        <v>3370</v>
      </c>
      <c r="F255" s="184"/>
      <c r="G255" s="239" t="s">
        <v>1165</v>
      </c>
      <c r="H255" s="15"/>
      <c r="I255" s="26">
        <v>11202212</v>
      </c>
      <c r="J255" s="26">
        <v>11202212</v>
      </c>
      <c r="K255" s="100">
        <f t="shared" si="2"/>
        <v>0</v>
      </c>
    </row>
    <row r="256" spans="1:11" ht="15">
      <c r="A256" s="166">
        <v>44446</v>
      </c>
      <c r="B256" s="28">
        <v>1205</v>
      </c>
      <c r="C256" s="168">
        <v>1506</v>
      </c>
      <c r="D256" s="168">
        <v>1653</v>
      </c>
      <c r="E256" s="224" t="s">
        <v>3371</v>
      </c>
      <c r="F256" s="184"/>
      <c r="G256" s="239" t="s">
        <v>1146</v>
      </c>
      <c r="H256" s="15"/>
      <c r="I256" s="26">
        <v>13766667</v>
      </c>
      <c r="J256" s="26">
        <v>13300000</v>
      </c>
      <c r="K256" s="100">
        <f t="shared" si="2"/>
        <v>466667</v>
      </c>
    </row>
    <row r="257" spans="1:11" ht="15">
      <c r="A257" s="166">
        <v>44447</v>
      </c>
      <c r="B257" s="28">
        <v>1218</v>
      </c>
      <c r="C257" s="168">
        <v>1502</v>
      </c>
      <c r="D257" s="168">
        <v>1656</v>
      </c>
      <c r="E257" s="224" t="s">
        <v>3372</v>
      </c>
      <c r="F257" s="184"/>
      <c r="G257" s="239" t="s">
        <v>3361</v>
      </c>
      <c r="H257" s="15"/>
      <c r="I257" s="26">
        <v>19666666</v>
      </c>
      <c r="J257" s="26">
        <v>13833333</v>
      </c>
      <c r="K257" s="100">
        <f t="shared" si="2"/>
        <v>5833333</v>
      </c>
    </row>
    <row r="258" spans="1:11" ht="15">
      <c r="A258" s="166">
        <v>44448</v>
      </c>
      <c r="B258" s="28">
        <v>1227</v>
      </c>
      <c r="C258" s="168">
        <v>1501</v>
      </c>
      <c r="D258" s="168">
        <v>1668</v>
      </c>
      <c r="E258" s="224" t="s">
        <v>3373</v>
      </c>
      <c r="F258" s="184"/>
      <c r="G258" s="239" t="s">
        <v>3362</v>
      </c>
      <c r="H258" s="15"/>
      <c r="I258" s="26">
        <v>25566666</v>
      </c>
      <c r="J258" s="26">
        <v>16683333</v>
      </c>
      <c r="K258" s="100">
        <f t="shared" si="2"/>
        <v>8883333</v>
      </c>
    </row>
    <row r="259" spans="1:11" ht="15">
      <c r="A259" s="166">
        <v>44454</v>
      </c>
      <c r="B259" s="28">
        <v>624</v>
      </c>
      <c r="C259" s="168">
        <v>1528</v>
      </c>
      <c r="D259" s="168">
        <v>1692</v>
      </c>
      <c r="E259" s="224" t="s">
        <v>3374</v>
      </c>
      <c r="F259" s="184"/>
      <c r="G259" s="239" t="s">
        <v>1644</v>
      </c>
      <c r="H259" s="15"/>
      <c r="I259" s="26">
        <v>7800000</v>
      </c>
      <c r="J259" s="26">
        <v>7800000</v>
      </c>
      <c r="K259" s="100">
        <f t="shared" si="2"/>
        <v>0</v>
      </c>
    </row>
    <row r="260" spans="1:11" ht="15">
      <c r="A260" s="166">
        <v>44454</v>
      </c>
      <c r="B260" s="28">
        <v>801</v>
      </c>
      <c r="C260" s="168">
        <v>1551</v>
      </c>
      <c r="D260" s="168">
        <v>1693</v>
      </c>
      <c r="E260" s="224" t="s">
        <v>3375</v>
      </c>
      <c r="F260" s="184"/>
      <c r="G260" s="239" t="s">
        <v>3363</v>
      </c>
      <c r="H260" s="15"/>
      <c r="I260" s="26">
        <v>866667</v>
      </c>
      <c r="J260" s="26">
        <v>0</v>
      </c>
      <c r="K260" s="100">
        <f t="shared" si="2"/>
        <v>866667</v>
      </c>
    </row>
    <row r="261" spans="1:11" ht="15">
      <c r="A261" s="166">
        <v>44454</v>
      </c>
      <c r="B261" s="28">
        <v>789</v>
      </c>
      <c r="C261" s="168">
        <v>1542</v>
      </c>
      <c r="D261" s="168">
        <v>1694</v>
      </c>
      <c r="E261" s="224" t="s">
        <v>3376</v>
      </c>
      <c r="F261" s="184"/>
      <c r="G261" s="239" t="s">
        <v>2082</v>
      </c>
      <c r="H261" s="15"/>
      <c r="I261" s="26">
        <v>866667</v>
      </c>
      <c r="J261" s="26">
        <v>866667</v>
      </c>
      <c r="K261" s="100">
        <f t="shared" si="2"/>
        <v>0</v>
      </c>
    </row>
    <row r="262" spans="1:11" ht="15">
      <c r="A262" s="166">
        <v>44454</v>
      </c>
      <c r="B262" s="28">
        <v>663</v>
      </c>
      <c r="C262" s="168">
        <v>1540</v>
      </c>
      <c r="D262" s="168">
        <v>1695</v>
      </c>
      <c r="E262" s="224" t="s">
        <v>3377</v>
      </c>
      <c r="F262" s="184"/>
      <c r="G262" s="239" t="s">
        <v>1873</v>
      </c>
      <c r="H262" s="15"/>
      <c r="I262" s="26">
        <v>6673333</v>
      </c>
      <c r="J262" s="26">
        <v>6673333</v>
      </c>
      <c r="K262" s="100">
        <f t="shared" si="2"/>
        <v>0</v>
      </c>
    </row>
    <row r="263" spans="1:11" ht="15">
      <c r="A263" s="166">
        <v>44454</v>
      </c>
      <c r="B263" s="28">
        <v>788</v>
      </c>
      <c r="C263" s="168">
        <v>1541</v>
      </c>
      <c r="D263" s="168">
        <v>1696</v>
      </c>
      <c r="E263" s="224" t="s">
        <v>3378</v>
      </c>
      <c r="F263" s="184"/>
      <c r="G263" s="239" t="s">
        <v>2077</v>
      </c>
      <c r="H263" s="15"/>
      <c r="I263" s="26">
        <v>1126667</v>
      </c>
      <c r="J263" s="26">
        <v>1126667</v>
      </c>
      <c r="K263" s="100">
        <f t="shared" si="2"/>
        <v>0</v>
      </c>
    </row>
    <row r="264" spans="1:11" ht="15">
      <c r="A264" s="166">
        <v>44459</v>
      </c>
      <c r="B264" s="28">
        <v>815</v>
      </c>
      <c r="C264" s="168">
        <v>1555</v>
      </c>
      <c r="D264" s="168">
        <v>1704</v>
      </c>
      <c r="E264" s="224" t="s">
        <v>3379</v>
      </c>
      <c r="F264" s="184"/>
      <c r="G264" s="239" t="s">
        <v>2084</v>
      </c>
      <c r="H264" s="15"/>
      <c r="I264" s="26">
        <v>2986022</v>
      </c>
      <c r="J264" s="26">
        <v>2634725</v>
      </c>
      <c r="K264" s="100">
        <f t="shared" si="2"/>
        <v>351297</v>
      </c>
    </row>
    <row r="265" spans="1:11" ht="15">
      <c r="A265" s="166">
        <v>44459</v>
      </c>
      <c r="B265" s="28">
        <v>1246</v>
      </c>
      <c r="C265" s="168">
        <v>1554</v>
      </c>
      <c r="D265" s="168">
        <v>1707</v>
      </c>
      <c r="E265" s="224" t="s">
        <v>1612</v>
      </c>
      <c r="F265" s="184"/>
      <c r="G265" s="239" t="s">
        <v>1638</v>
      </c>
      <c r="H265" s="15"/>
      <c r="I265" s="26">
        <v>9013333</v>
      </c>
      <c r="J265" s="26">
        <v>8493333</v>
      </c>
      <c r="K265" s="100">
        <f t="shared" si="2"/>
        <v>520000</v>
      </c>
    </row>
    <row r="266" spans="1:11" ht="15">
      <c r="A266" s="166">
        <v>44459</v>
      </c>
      <c r="B266" s="28">
        <v>1247</v>
      </c>
      <c r="C266" s="168">
        <v>1560</v>
      </c>
      <c r="D266" s="168">
        <v>1708</v>
      </c>
      <c r="E266" s="224" t="s">
        <v>1614</v>
      </c>
      <c r="F266" s="184"/>
      <c r="G266" s="239" t="s">
        <v>1628</v>
      </c>
      <c r="H266" s="15"/>
      <c r="I266" s="26">
        <v>9013333</v>
      </c>
      <c r="J266" s="26">
        <v>8753333</v>
      </c>
      <c r="K266" s="100">
        <f t="shared" si="2"/>
        <v>260000</v>
      </c>
    </row>
    <row r="267" spans="1:11" ht="15">
      <c r="A267" s="166">
        <v>44459</v>
      </c>
      <c r="B267" s="28">
        <v>1244</v>
      </c>
      <c r="C267" s="168">
        <v>1532</v>
      </c>
      <c r="D267" s="168">
        <v>1710</v>
      </c>
      <c r="E267" s="224" t="s">
        <v>1609</v>
      </c>
      <c r="F267" s="184"/>
      <c r="G267" s="239" t="s">
        <v>1625</v>
      </c>
      <c r="H267" s="15"/>
      <c r="I267" s="26">
        <v>18500000</v>
      </c>
      <c r="J267" s="26">
        <v>16833333</v>
      </c>
      <c r="K267" s="100">
        <f t="shared" si="2"/>
        <v>1666667</v>
      </c>
    </row>
    <row r="268" spans="1:11" ht="15">
      <c r="A268" s="166">
        <v>44459</v>
      </c>
      <c r="B268" s="28">
        <v>1240</v>
      </c>
      <c r="C268" s="168">
        <v>1535</v>
      </c>
      <c r="D268" s="168">
        <v>1711</v>
      </c>
      <c r="E268" s="224" t="s">
        <v>1614</v>
      </c>
      <c r="F268" s="184"/>
      <c r="G268" s="239" t="s">
        <v>1639</v>
      </c>
      <c r="H268" s="15"/>
      <c r="I268" s="26">
        <v>9360000</v>
      </c>
      <c r="J268" s="26">
        <v>8580000</v>
      </c>
      <c r="K268" s="100">
        <f t="shared" si="2"/>
        <v>780000</v>
      </c>
    </row>
    <row r="269" spans="1:11" ht="15">
      <c r="A269" s="166">
        <v>44459</v>
      </c>
      <c r="B269" s="28">
        <v>1252</v>
      </c>
      <c r="C269" s="168">
        <v>1559</v>
      </c>
      <c r="D269" s="168">
        <v>1712</v>
      </c>
      <c r="E269" s="224" t="s">
        <v>3380</v>
      </c>
      <c r="F269" s="184"/>
      <c r="G269" s="239" t="s">
        <v>1160</v>
      </c>
      <c r="H269" s="15"/>
      <c r="I269" s="26">
        <v>15750000</v>
      </c>
      <c r="J269" s="26">
        <v>10500000</v>
      </c>
      <c r="K269" s="100">
        <f t="shared" si="2"/>
        <v>5250000</v>
      </c>
    </row>
    <row r="270" spans="1:11" ht="15">
      <c r="A270" s="166">
        <v>44460</v>
      </c>
      <c r="B270" s="28">
        <v>1245</v>
      </c>
      <c r="C270" s="168">
        <v>1534</v>
      </c>
      <c r="D270" s="168">
        <v>1716</v>
      </c>
      <c r="E270" s="224" t="s">
        <v>1612</v>
      </c>
      <c r="F270" s="184"/>
      <c r="G270" s="239" t="s">
        <v>1627</v>
      </c>
      <c r="H270" s="15"/>
      <c r="I270" s="26">
        <v>9360000</v>
      </c>
      <c r="J270" s="26">
        <v>8493333</v>
      </c>
      <c r="K270" s="100">
        <f t="shared" si="2"/>
        <v>866667</v>
      </c>
    </row>
    <row r="271" spans="1:11" ht="15">
      <c r="A271" s="166">
        <v>44460</v>
      </c>
      <c r="B271" s="28">
        <v>1236</v>
      </c>
      <c r="C271" s="168">
        <v>1533</v>
      </c>
      <c r="D271" s="168">
        <v>1721</v>
      </c>
      <c r="E271" s="224" t="s">
        <v>3381</v>
      </c>
      <c r="F271" s="184"/>
      <c r="G271" s="239" t="s">
        <v>3364</v>
      </c>
      <c r="H271" s="15"/>
      <c r="I271" s="26">
        <v>18666667</v>
      </c>
      <c r="J271" s="26">
        <v>11666667</v>
      </c>
      <c r="K271" s="100">
        <f t="shared" si="2"/>
        <v>7000000</v>
      </c>
    </row>
    <row r="272" spans="1:11" ht="15">
      <c r="A272" s="166">
        <v>44460</v>
      </c>
      <c r="B272" s="28">
        <v>1258</v>
      </c>
      <c r="C272" s="168">
        <v>1561</v>
      </c>
      <c r="D272" s="168">
        <v>1722</v>
      </c>
      <c r="E272" s="224" t="s">
        <v>1614</v>
      </c>
      <c r="F272" s="184"/>
      <c r="G272" s="239" t="s">
        <v>1636</v>
      </c>
      <c r="H272" s="15"/>
      <c r="I272" s="26">
        <v>9013333</v>
      </c>
      <c r="J272" s="26">
        <v>3380000</v>
      </c>
      <c r="K272" s="100">
        <f t="shared" si="2"/>
        <v>5633333</v>
      </c>
    </row>
    <row r="273" spans="1:11" ht="15">
      <c r="A273" s="166">
        <v>44460</v>
      </c>
      <c r="B273" s="28">
        <v>1253</v>
      </c>
      <c r="C273" s="168">
        <v>1547</v>
      </c>
      <c r="D273" s="168">
        <v>1723</v>
      </c>
      <c r="E273" s="224" t="s">
        <v>3382</v>
      </c>
      <c r="F273" s="184"/>
      <c r="G273" s="239" t="s">
        <v>1634</v>
      </c>
      <c r="H273" s="15"/>
      <c r="I273" s="26">
        <v>9100000</v>
      </c>
      <c r="J273" s="26">
        <v>5980000</v>
      </c>
      <c r="K273" s="100">
        <f t="shared" si="2"/>
        <v>3120000</v>
      </c>
    </row>
    <row r="274" spans="1:11" ht="15">
      <c r="A274" s="166">
        <v>44460</v>
      </c>
      <c r="B274" s="28">
        <v>1256</v>
      </c>
      <c r="C274" s="168">
        <v>1566</v>
      </c>
      <c r="D274" s="168">
        <v>1724</v>
      </c>
      <c r="E274" s="224" t="s">
        <v>1612</v>
      </c>
      <c r="F274" s="184"/>
      <c r="G274" s="239" t="s">
        <v>1631</v>
      </c>
      <c r="H274" s="15"/>
      <c r="I274" s="26">
        <v>9013333</v>
      </c>
      <c r="J274" s="26">
        <v>8493333</v>
      </c>
      <c r="K274" s="100">
        <f t="shared" si="2"/>
        <v>520000</v>
      </c>
    </row>
    <row r="275" spans="1:11" ht="15">
      <c r="A275" s="166">
        <v>44461</v>
      </c>
      <c r="B275" s="28">
        <v>1254</v>
      </c>
      <c r="C275" s="168">
        <v>1579</v>
      </c>
      <c r="D275" s="168">
        <v>1726</v>
      </c>
      <c r="E275" s="224" t="s">
        <v>1612</v>
      </c>
      <c r="F275" s="184"/>
      <c r="G275" s="239" t="s">
        <v>1640</v>
      </c>
      <c r="H275" s="15"/>
      <c r="I275" s="26">
        <v>9013333</v>
      </c>
      <c r="J275" s="26">
        <v>8580000</v>
      </c>
      <c r="K275" s="100">
        <f t="shared" si="2"/>
        <v>433333</v>
      </c>
    </row>
    <row r="276" spans="1:11" ht="15">
      <c r="A276" s="166">
        <v>44461</v>
      </c>
      <c r="B276" s="28">
        <v>657</v>
      </c>
      <c r="C276" s="168">
        <v>1539</v>
      </c>
      <c r="D276" s="168">
        <v>1740</v>
      </c>
      <c r="E276" s="224" t="s">
        <v>3383</v>
      </c>
      <c r="F276" s="184"/>
      <c r="G276" s="239" t="s">
        <v>1871</v>
      </c>
      <c r="H276" s="15"/>
      <c r="I276" s="26">
        <v>7465055</v>
      </c>
      <c r="J276" s="26">
        <v>7465055</v>
      </c>
      <c r="K276" s="100">
        <f t="shared" si="2"/>
        <v>0</v>
      </c>
    </row>
    <row r="277" spans="1:11" ht="15">
      <c r="A277" s="166">
        <v>44461</v>
      </c>
      <c r="B277" s="28">
        <v>799</v>
      </c>
      <c r="C277" s="168">
        <v>1531</v>
      </c>
      <c r="D277" s="168">
        <v>1741</v>
      </c>
      <c r="E277" s="224" t="s">
        <v>3384</v>
      </c>
      <c r="F277" s="184"/>
      <c r="G277" s="239" t="s">
        <v>2086</v>
      </c>
      <c r="H277" s="15"/>
      <c r="I277" s="26">
        <v>3966667</v>
      </c>
      <c r="J277" s="26">
        <v>466667</v>
      </c>
      <c r="K277" s="100">
        <f t="shared" si="2"/>
        <v>3500000</v>
      </c>
    </row>
    <row r="278" spans="1:11" ht="15">
      <c r="A278" s="166">
        <v>44461</v>
      </c>
      <c r="B278" s="28">
        <v>1259</v>
      </c>
      <c r="C278" s="168">
        <v>1575</v>
      </c>
      <c r="D278" s="168">
        <v>1743</v>
      </c>
      <c r="E278" s="224" t="s">
        <v>2669</v>
      </c>
      <c r="F278" s="184"/>
      <c r="G278" s="239" t="s">
        <v>1641</v>
      </c>
      <c r="H278" s="15"/>
      <c r="I278" s="26">
        <v>9013333</v>
      </c>
      <c r="J278" s="26">
        <v>8406667</v>
      </c>
      <c r="K278" s="100">
        <f t="shared" si="2"/>
        <v>606666</v>
      </c>
    </row>
    <row r="279" spans="1:11" ht="15">
      <c r="A279" s="166">
        <v>44462</v>
      </c>
      <c r="B279" s="28">
        <v>651</v>
      </c>
      <c r="C279" s="168">
        <v>1527</v>
      </c>
      <c r="D279" s="168">
        <v>1746</v>
      </c>
      <c r="E279" s="224" t="s">
        <v>3385</v>
      </c>
      <c r="F279" s="184"/>
      <c r="G279" s="239" t="s">
        <v>1650</v>
      </c>
      <c r="H279" s="15"/>
      <c r="I279" s="26">
        <v>7552879</v>
      </c>
      <c r="J279" s="26">
        <v>4918153</v>
      </c>
      <c r="K279" s="100">
        <f t="shared" si="2"/>
        <v>2634726</v>
      </c>
    </row>
    <row r="280" spans="1:11" ht="15">
      <c r="A280" s="166">
        <v>44462</v>
      </c>
      <c r="B280" s="28">
        <v>653</v>
      </c>
      <c r="C280" s="168">
        <v>1529</v>
      </c>
      <c r="D280" s="168">
        <v>1747</v>
      </c>
      <c r="E280" s="224" t="s">
        <v>3386</v>
      </c>
      <c r="F280" s="184"/>
      <c r="G280" s="239" t="s">
        <v>1649</v>
      </c>
      <c r="H280" s="15"/>
      <c r="I280" s="26">
        <v>7377231</v>
      </c>
      <c r="J280" s="26">
        <v>7377231</v>
      </c>
      <c r="K280" s="100">
        <f t="shared" si="2"/>
        <v>0</v>
      </c>
    </row>
    <row r="281" spans="1:11" ht="15">
      <c r="A281" s="166">
        <v>44462</v>
      </c>
      <c r="B281" s="28">
        <v>539</v>
      </c>
      <c r="C281" s="168">
        <v>1589</v>
      </c>
      <c r="D281" s="168">
        <v>1749</v>
      </c>
      <c r="E281" s="224" t="s">
        <v>3387</v>
      </c>
      <c r="F281" s="184"/>
      <c r="G281" s="239" t="s">
        <v>1164</v>
      </c>
      <c r="H281" s="15"/>
      <c r="I281" s="26">
        <v>11968800</v>
      </c>
      <c r="J281" s="26">
        <v>11968800</v>
      </c>
      <c r="K281" s="100">
        <f t="shared" si="2"/>
        <v>0</v>
      </c>
    </row>
    <row r="282" spans="1:11" ht="15">
      <c r="A282" s="166">
        <v>44462</v>
      </c>
      <c r="B282" s="28">
        <v>659</v>
      </c>
      <c r="C282" s="168">
        <v>1526</v>
      </c>
      <c r="D282" s="168">
        <v>1751</v>
      </c>
      <c r="E282" s="224" t="s">
        <v>3388</v>
      </c>
      <c r="F282" s="184"/>
      <c r="G282" s="239" t="s">
        <v>1869</v>
      </c>
      <c r="H282" s="15"/>
      <c r="I282" s="26">
        <v>7377231</v>
      </c>
      <c r="J282" s="26">
        <v>7377231</v>
      </c>
      <c r="K282" s="100">
        <f t="shared" si="2"/>
        <v>0</v>
      </c>
    </row>
    <row r="283" spans="1:11" ht="15">
      <c r="A283" s="166">
        <v>44462</v>
      </c>
      <c r="B283" s="28">
        <v>766</v>
      </c>
      <c r="C283" s="168">
        <v>1525</v>
      </c>
      <c r="D283" s="168">
        <v>1752</v>
      </c>
      <c r="E283" s="224" t="s">
        <v>3389</v>
      </c>
      <c r="F283" s="184"/>
      <c r="G283" s="239" t="s">
        <v>3365</v>
      </c>
      <c r="H283" s="15"/>
      <c r="I283" s="26">
        <v>4215561</v>
      </c>
      <c r="J283" s="26">
        <v>4215561</v>
      </c>
      <c r="K283" s="100">
        <f t="shared" si="2"/>
        <v>0</v>
      </c>
    </row>
    <row r="284" spans="1:11" ht="15">
      <c r="A284" s="166">
        <v>44462</v>
      </c>
      <c r="B284" s="28">
        <v>578</v>
      </c>
      <c r="C284" s="168">
        <v>1578</v>
      </c>
      <c r="D284" s="168">
        <v>1753</v>
      </c>
      <c r="E284" s="224" t="s">
        <v>3390</v>
      </c>
      <c r="F284" s="184"/>
      <c r="G284" s="239" t="s">
        <v>1624</v>
      </c>
      <c r="H284" s="15"/>
      <c r="I284" s="26">
        <v>7918933</v>
      </c>
      <c r="J284" s="26">
        <v>7918933</v>
      </c>
      <c r="K284" s="100">
        <f t="shared" si="2"/>
        <v>0</v>
      </c>
    </row>
    <row r="285" spans="1:11" ht="15">
      <c r="A285" s="166">
        <v>44463</v>
      </c>
      <c r="B285" s="28">
        <v>639</v>
      </c>
      <c r="C285" s="168">
        <v>1597</v>
      </c>
      <c r="D285" s="168">
        <v>1754</v>
      </c>
      <c r="E285" s="224" t="s">
        <v>3391</v>
      </c>
      <c r="F285" s="184"/>
      <c r="G285" s="239" t="s">
        <v>1643</v>
      </c>
      <c r="H285" s="15"/>
      <c r="I285" s="26">
        <v>13083000</v>
      </c>
      <c r="J285" s="26">
        <v>13083000</v>
      </c>
      <c r="K285" s="100">
        <f t="shared" si="2"/>
        <v>0</v>
      </c>
    </row>
    <row r="286" spans="1:11" ht="15">
      <c r="A286" s="166">
        <v>44463</v>
      </c>
      <c r="B286" s="28">
        <v>784</v>
      </c>
      <c r="C286" s="168">
        <v>1563</v>
      </c>
      <c r="D286" s="168">
        <v>1756</v>
      </c>
      <c r="E286" s="224" t="s">
        <v>3392</v>
      </c>
      <c r="F286" s="184"/>
      <c r="G286" s="239" t="s">
        <v>2078</v>
      </c>
      <c r="H286" s="15"/>
      <c r="I286" s="26">
        <v>1040000</v>
      </c>
      <c r="J286" s="26">
        <v>0</v>
      </c>
      <c r="K286" s="100">
        <f t="shared" si="2"/>
        <v>1040000</v>
      </c>
    </row>
    <row r="287" spans="1:11" ht="15">
      <c r="A287" s="166">
        <v>44463</v>
      </c>
      <c r="B287" s="28">
        <v>649</v>
      </c>
      <c r="C287" s="168">
        <v>1530</v>
      </c>
      <c r="D287" s="168">
        <v>1759</v>
      </c>
      <c r="E287" s="224" t="s">
        <v>3393</v>
      </c>
      <c r="F287" s="184"/>
      <c r="G287" s="239" t="s">
        <v>1648</v>
      </c>
      <c r="H287" s="15"/>
      <c r="I287" s="26">
        <v>7377230</v>
      </c>
      <c r="J287" s="26">
        <v>4742505</v>
      </c>
      <c r="K287" s="100">
        <f t="shared" si="2"/>
        <v>2634725</v>
      </c>
    </row>
    <row r="288" spans="1:11" ht="15">
      <c r="A288" s="166">
        <v>44463</v>
      </c>
      <c r="B288" s="28">
        <v>791</v>
      </c>
      <c r="C288" s="168">
        <v>1599</v>
      </c>
      <c r="D288" s="168">
        <v>1761</v>
      </c>
      <c r="E288" s="224" t="s">
        <v>3394</v>
      </c>
      <c r="F288" s="184"/>
      <c r="G288" s="239" t="s">
        <v>2075</v>
      </c>
      <c r="H288" s="15"/>
      <c r="I288" s="26">
        <v>1126667</v>
      </c>
      <c r="J288" s="26">
        <v>1126667</v>
      </c>
      <c r="K288" s="100">
        <f t="shared" si="2"/>
        <v>0</v>
      </c>
    </row>
    <row r="289" spans="1:11" ht="15">
      <c r="A289" s="166">
        <v>44463</v>
      </c>
      <c r="B289" s="28">
        <v>630</v>
      </c>
      <c r="C289" s="168">
        <v>1565</v>
      </c>
      <c r="D289" s="168">
        <v>1763</v>
      </c>
      <c r="E289" s="224" t="s">
        <v>3395</v>
      </c>
      <c r="F289" s="184"/>
      <c r="G289" s="239" t="s">
        <v>1647</v>
      </c>
      <c r="H289" s="15"/>
      <c r="I289" s="26">
        <v>7800000</v>
      </c>
      <c r="J289" s="26">
        <v>7800000</v>
      </c>
      <c r="K289" s="100">
        <f t="shared" si="3" ref="K289:K341">+I289-J289</f>
        <v>0</v>
      </c>
    </row>
    <row r="290" spans="1:11" ht="15">
      <c r="A290" s="166">
        <v>44463</v>
      </c>
      <c r="B290" s="28">
        <v>635</v>
      </c>
      <c r="C290" s="168">
        <v>1564</v>
      </c>
      <c r="D290" s="168">
        <v>1764</v>
      </c>
      <c r="E290" s="224" t="s">
        <v>3396</v>
      </c>
      <c r="F290" s="184"/>
      <c r="G290" s="239" t="s">
        <v>1646</v>
      </c>
      <c r="H290" s="15"/>
      <c r="I290" s="26">
        <v>7800000</v>
      </c>
      <c r="J290" s="26">
        <v>7800000</v>
      </c>
      <c r="K290" s="100">
        <f t="shared" si="3"/>
        <v>0</v>
      </c>
    </row>
    <row r="291" spans="1:11" ht="15">
      <c r="A291" s="166">
        <v>44466</v>
      </c>
      <c r="B291" s="28">
        <v>664</v>
      </c>
      <c r="C291" s="168">
        <v>1602</v>
      </c>
      <c r="D291" s="168">
        <v>1766</v>
      </c>
      <c r="E291" s="224" t="s">
        <v>3397</v>
      </c>
      <c r="F291" s="184"/>
      <c r="G291" s="239" t="s">
        <v>1872</v>
      </c>
      <c r="H291" s="15"/>
      <c r="I291" s="26">
        <v>6846667</v>
      </c>
      <c r="J291" s="26">
        <v>6846667</v>
      </c>
      <c r="K291" s="100">
        <f t="shared" si="3"/>
        <v>0</v>
      </c>
    </row>
    <row r="292" spans="1:11" ht="15">
      <c r="A292" s="166">
        <v>44468</v>
      </c>
      <c r="B292" s="28">
        <v>790</v>
      </c>
      <c r="C292" s="168">
        <v>1600</v>
      </c>
      <c r="D292" s="168">
        <v>1778</v>
      </c>
      <c r="E292" s="224" t="s">
        <v>3398</v>
      </c>
      <c r="F292" s="184"/>
      <c r="G292" s="239" t="s">
        <v>2076</v>
      </c>
      <c r="H292" s="15"/>
      <c r="I292" s="26">
        <v>1126667</v>
      </c>
      <c r="J292" s="26">
        <v>1126667</v>
      </c>
      <c r="K292" s="100">
        <f t="shared" si="3"/>
        <v>0</v>
      </c>
    </row>
    <row r="293" spans="1:11" ht="15">
      <c r="A293" s="166">
        <v>44468</v>
      </c>
      <c r="B293" s="28">
        <v>666</v>
      </c>
      <c r="C293" s="168">
        <v>1556</v>
      </c>
      <c r="D293" s="168">
        <v>1779</v>
      </c>
      <c r="E293" s="224" t="s">
        <v>3399</v>
      </c>
      <c r="F293" s="184"/>
      <c r="G293" s="239" t="s">
        <v>1874</v>
      </c>
      <c r="H293" s="15"/>
      <c r="I293" s="26">
        <v>8400000</v>
      </c>
      <c r="J293" s="26">
        <v>4900000</v>
      </c>
      <c r="K293" s="100">
        <f t="shared" si="3"/>
        <v>3500000</v>
      </c>
    </row>
    <row r="294" spans="1:11" ht="15">
      <c r="A294" s="166">
        <v>44469</v>
      </c>
      <c r="B294" s="28">
        <v>1274</v>
      </c>
      <c r="C294" s="168">
        <v>1595</v>
      </c>
      <c r="D294" s="168">
        <v>1782</v>
      </c>
      <c r="E294" s="224" t="s">
        <v>3400</v>
      </c>
      <c r="F294" s="184"/>
      <c r="G294" s="239" t="s">
        <v>3366</v>
      </c>
      <c r="H294" s="15"/>
      <c r="I294" s="26">
        <v>16666667</v>
      </c>
      <c r="J294" s="26">
        <v>15000000</v>
      </c>
      <c r="K294" s="100">
        <f t="shared" si="3"/>
        <v>1666667</v>
      </c>
    </row>
    <row r="295" spans="1:11" ht="15">
      <c r="A295" s="166">
        <v>44469</v>
      </c>
      <c r="B295" s="168">
        <v>944</v>
      </c>
      <c r="C295" s="168">
        <v>1629</v>
      </c>
      <c r="D295" s="28">
        <v>1789</v>
      </c>
      <c r="E295" s="224" t="s">
        <v>3433</v>
      </c>
      <c r="F295" s="29"/>
      <c r="G295" s="272" t="s">
        <v>2724</v>
      </c>
      <c r="H295" s="15"/>
      <c r="I295" s="26">
        <v>9000000</v>
      </c>
      <c r="J295" s="26">
        <v>8932725</v>
      </c>
      <c r="K295" s="100">
        <f t="shared" si="3"/>
        <v>67275</v>
      </c>
    </row>
    <row r="296" spans="1:11" ht="15">
      <c r="A296" s="166">
        <v>44470</v>
      </c>
      <c r="B296" s="168" t="s">
        <v>1491</v>
      </c>
      <c r="C296" s="168" t="s">
        <v>3081</v>
      </c>
      <c r="D296" s="28" t="s">
        <v>3657</v>
      </c>
      <c r="E296" s="224" t="s">
        <v>3680</v>
      </c>
      <c r="F296" s="29"/>
      <c r="G296" s="239" t="s">
        <v>2073</v>
      </c>
      <c r="H296" s="15"/>
      <c r="I296" s="26">
        <v>5483333</v>
      </c>
      <c r="J296" s="26">
        <v>5483333</v>
      </c>
      <c r="K296" s="100">
        <f t="shared" si="3"/>
        <v>0</v>
      </c>
    </row>
    <row r="297" spans="1:11" ht="15">
      <c r="A297" s="166">
        <v>44474</v>
      </c>
      <c r="B297" s="168" t="s">
        <v>2438</v>
      </c>
      <c r="C297" s="168" t="s">
        <v>2939</v>
      </c>
      <c r="D297" s="28" t="s">
        <v>3658</v>
      </c>
      <c r="E297" s="224" t="s">
        <v>3681</v>
      </c>
      <c r="F297" s="29"/>
      <c r="G297" s="239" t="s">
        <v>1222</v>
      </c>
      <c r="H297" s="15"/>
      <c r="I297" s="26">
        <v>12760474</v>
      </c>
      <c r="J297" s="26">
        <v>12760474</v>
      </c>
      <c r="K297" s="100">
        <f t="shared" si="3"/>
        <v>0</v>
      </c>
    </row>
    <row r="298" spans="1:11" ht="15">
      <c r="A298" s="166">
        <v>44475</v>
      </c>
      <c r="B298" s="168" t="s">
        <v>3503</v>
      </c>
      <c r="C298" s="168" t="s">
        <v>1189</v>
      </c>
      <c r="D298" s="28" t="s">
        <v>3659</v>
      </c>
      <c r="E298" s="224" t="s">
        <v>3682</v>
      </c>
      <c r="F298" s="29"/>
      <c r="G298" s="239" t="s">
        <v>1165</v>
      </c>
      <c r="H298" s="15"/>
      <c r="I298" s="26">
        <v>9791404</v>
      </c>
      <c r="J298" s="26">
        <v>9791404</v>
      </c>
      <c r="K298" s="100">
        <f t="shared" si="3"/>
        <v>0</v>
      </c>
    </row>
    <row r="299" spans="1:11" ht="15">
      <c r="A299" s="166">
        <v>44482</v>
      </c>
      <c r="B299" s="168" t="s">
        <v>2533</v>
      </c>
      <c r="C299" s="168" t="s">
        <v>3660</v>
      </c>
      <c r="D299" s="28" t="s">
        <v>3661</v>
      </c>
      <c r="E299" s="224" t="s">
        <v>3683</v>
      </c>
      <c r="F299" s="29"/>
      <c r="G299" s="239" t="s">
        <v>3647</v>
      </c>
      <c r="H299" s="15"/>
      <c r="I299" s="26">
        <v>10500000</v>
      </c>
      <c r="J299" s="26">
        <v>5483333</v>
      </c>
      <c r="K299" s="100">
        <f t="shared" si="3"/>
        <v>5016667</v>
      </c>
    </row>
    <row r="300" spans="1:11" ht="15">
      <c r="A300" s="166">
        <v>44483</v>
      </c>
      <c r="B300" s="168" t="s">
        <v>2644</v>
      </c>
      <c r="C300" s="168" t="s">
        <v>3662</v>
      </c>
      <c r="D300" s="28" t="s">
        <v>3663</v>
      </c>
      <c r="E300" s="224" t="s">
        <v>3684</v>
      </c>
      <c r="F300" s="29"/>
      <c r="G300" s="239" t="s">
        <v>3648</v>
      </c>
      <c r="H300" s="15"/>
      <c r="I300" s="26">
        <v>13166667</v>
      </c>
      <c r="J300" s="26">
        <v>12833333</v>
      </c>
      <c r="K300" s="100">
        <f t="shared" si="3"/>
        <v>333334</v>
      </c>
    </row>
    <row r="301" spans="1:11" ht="15">
      <c r="A301" s="166">
        <v>44483</v>
      </c>
      <c r="B301" s="168" t="s">
        <v>2636</v>
      </c>
      <c r="C301" s="168" t="s">
        <v>3664</v>
      </c>
      <c r="D301" s="28" t="s">
        <v>3665</v>
      </c>
      <c r="E301" s="224" t="s">
        <v>3685</v>
      </c>
      <c r="F301" s="29"/>
      <c r="G301" s="239" t="s">
        <v>1633</v>
      </c>
      <c r="H301" s="15"/>
      <c r="I301" s="26">
        <v>11850000</v>
      </c>
      <c r="J301" s="26">
        <v>11550000</v>
      </c>
      <c r="K301" s="100">
        <f t="shared" si="3"/>
        <v>300000</v>
      </c>
    </row>
    <row r="302" spans="1:11" ht="15">
      <c r="A302" s="166">
        <v>44488</v>
      </c>
      <c r="B302" s="168" t="s">
        <v>2786</v>
      </c>
      <c r="C302" s="168" t="s">
        <v>3666</v>
      </c>
      <c r="D302" s="28" t="s">
        <v>3667</v>
      </c>
      <c r="E302" s="224" t="s">
        <v>3686</v>
      </c>
      <c r="F302" s="29"/>
      <c r="G302" s="239" t="s">
        <v>3649</v>
      </c>
      <c r="H302" s="15"/>
      <c r="I302" s="26">
        <v>17500000</v>
      </c>
      <c r="J302" s="26">
        <v>16566667</v>
      </c>
      <c r="K302" s="100">
        <f t="shared" si="3"/>
        <v>933333</v>
      </c>
    </row>
    <row r="303" spans="1:11" ht="15">
      <c r="A303" s="166">
        <v>44489</v>
      </c>
      <c r="B303" s="168" t="s">
        <v>2655</v>
      </c>
      <c r="C303" s="168" t="s">
        <v>3668</v>
      </c>
      <c r="D303" s="28" t="s">
        <v>3669</v>
      </c>
      <c r="E303" s="224" t="s">
        <v>3687</v>
      </c>
      <c r="F303" s="29"/>
      <c r="G303" s="239" t="s">
        <v>3650</v>
      </c>
      <c r="H303" s="15"/>
      <c r="I303" s="26">
        <v>11250000</v>
      </c>
      <c r="J303" s="26">
        <v>10500000</v>
      </c>
      <c r="K303" s="100">
        <f t="shared" si="3"/>
        <v>750000</v>
      </c>
    </row>
    <row r="304" spans="1:11" ht="15">
      <c r="A304" s="166">
        <v>44490</v>
      </c>
      <c r="B304" s="168" t="s">
        <v>2431</v>
      </c>
      <c r="C304" s="168" t="s">
        <v>3670</v>
      </c>
      <c r="D304" s="28" t="s">
        <v>3671</v>
      </c>
      <c r="E304" s="224" t="s">
        <v>3688</v>
      </c>
      <c r="F304" s="29"/>
      <c r="G304" s="239" t="s">
        <v>3651</v>
      </c>
      <c r="H304" s="15"/>
      <c r="I304" s="26">
        <v>7500000</v>
      </c>
      <c r="J304" s="26">
        <v>7000000</v>
      </c>
      <c r="K304" s="100">
        <f t="shared" si="3"/>
        <v>500000</v>
      </c>
    </row>
    <row r="305" spans="1:11" ht="15">
      <c r="A305" s="166">
        <v>44496</v>
      </c>
      <c r="B305" s="168" t="s">
        <v>2854</v>
      </c>
      <c r="C305" s="168" t="s">
        <v>3672</v>
      </c>
      <c r="D305" s="28" t="s">
        <v>3673</v>
      </c>
      <c r="E305" s="224" t="s">
        <v>1612</v>
      </c>
      <c r="F305" s="29"/>
      <c r="G305" s="239" t="s">
        <v>3652</v>
      </c>
      <c r="H305" s="15"/>
      <c r="I305" s="26">
        <v>5460000</v>
      </c>
      <c r="J305" s="26">
        <v>5373333</v>
      </c>
      <c r="K305" s="100">
        <f t="shared" si="3"/>
        <v>86667</v>
      </c>
    </row>
    <row r="306" spans="1:11" ht="15">
      <c r="A306" s="166">
        <v>44497</v>
      </c>
      <c r="B306" s="168" t="s">
        <v>2437</v>
      </c>
      <c r="C306" s="168" t="s">
        <v>3674</v>
      </c>
      <c r="D306" s="28" t="s">
        <v>3675</v>
      </c>
      <c r="E306" s="224" t="s">
        <v>2143</v>
      </c>
      <c r="F306" s="29"/>
      <c r="G306" s="239" t="s">
        <v>3653</v>
      </c>
      <c r="H306" s="15"/>
      <c r="I306" s="26">
        <v>5460000</v>
      </c>
      <c r="J306" s="26">
        <v>5373333</v>
      </c>
      <c r="K306" s="100">
        <f t="shared" si="3"/>
        <v>86667</v>
      </c>
    </row>
    <row r="307" spans="1:11" ht="15">
      <c r="A307" s="166">
        <v>44497</v>
      </c>
      <c r="B307" s="168" t="s">
        <v>2666</v>
      </c>
      <c r="C307" s="168" t="s">
        <v>3674</v>
      </c>
      <c r="D307" s="28" t="s">
        <v>3676</v>
      </c>
      <c r="E307" s="224" t="s">
        <v>2143</v>
      </c>
      <c r="F307" s="29"/>
      <c r="G307" s="239" t="s">
        <v>3654</v>
      </c>
      <c r="H307" s="15"/>
      <c r="I307" s="26">
        <v>5460000</v>
      </c>
      <c r="J307" s="26">
        <v>2860000</v>
      </c>
      <c r="K307" s="100">
        <f t="shared" si="3"/>
        <v>2600000</v>
      </c>
    </row>
    <row r="308" spans="1:11" ht="15">
      <c r="A308" s="166">
        <v>44497</v>
      </c>
      <c r="B308" s="168" t="s">
        <v>2665</v>
      </c>
      <c r="C308" s="168" t="s">
        <v>3674</v>
      </c>
      <c r="D308" s="28" t="s">
        <v>3677</v>
      </c>
      <c r="E308" s="224" t="s">
        <v>2143</v>
      </c>
      <c r="F308" s="29"/>
      <c r="G308" s="239" t="s">
        <v>3655</v>
      </c>
      <c r="H308" s="15"/>
      <c r="I308" s="26">
        <v>5460000</v>
      </c>
      <c r="J308" s="26">
        <v>2773333</v>
      </c>
      <c r="K308" s="100">
        <f t="shared" si="3"/>
        <v>2686667</v>
      </c>
    </row>
    <row r="309" spans="1:11" ht="15">
      <c r="A309" s="166">
        <v>44497</v>
      </c>
      <c r="B309" s="168" t="s">
        <v>2436</v>
      </c>
      <c r="C309" s="168" t="s">
        <v>3674</v>
      </c>
      <c r="D309" s="28" t="s">
        <v>3678</v>
      </c>
      <c r="E309" s="224" t="s">
        <v>2143</v>
      </c>
      <c r="F309" s="29"/>
      <c r="G309" s="239" t="s">
        <v>3656</v>
      </c>
      <c r="H309" s="15"/>
      <c r="I309" s="26">
        <v>5460000</v>
      </c>
      <c r="J309" s="26">
        <v>2426667</v>
      </c>
      <c r="K309" s="100">
        <f t="shared" si="3"/>
        <v>3033333</v>
      </c>
    </row>
    <row r="310" spans="1:11" ht="15">
      <c r="A310" s="166">
        <v>44498</v>
      </c>
      <c r="B310" s="168" t="s">
        <v>3019</v>
      </c>
      <c r="C310" s="168" t="s">
        <v>449</v>
      </c>
      <c r="D310" s="28" t="s">
        <v>3679</v>
      </c>
      <c r="E310" s="224" t="s">
        <v>3689</v>
      </c>
      <c r="F310" s="29"/>
      <c r="G310" s="239" t="s">
        <v>1149</v>
      </c>
      <c r="H310" s="15"/>
      <c r="I310" s="26">
        <v>9216667</v>
      </c>
      <c r="J310" s="26">
        <v>3150000</v>
      </c>
      <c r="K310" s="100">
        <f t="shared" si="3"/>
        <v>6066667</v>
      </c>
    </row>
    <row r="311" spans="1:11" ht="15">
      <c r="A311" s="166">
        <v>44502</v>
      </c>
      <c r="B311" s="168">
        <v>1343</v>
      </c>
      <c r="C311" s="168">
        <v>1722</v>
      </c>
      <c r="D311" s="28">
        <v>1931</v>
      </c>
      <c r="E311" s="224" t="s">
        <v>1614</v>
      </c>
      <c r="F311" s="29"/>
      <c r="G311" s="239" t="s">
        <v>3849</v>
      </c>
      <c r="H311" s="15"/>
      <c r="I311" s="26">
        <v>5720000</v>
      </c>
      <c r="J311" s="26">
        <v>4853333</v>
      </c>
      <c r="K311" s="100">
        <f t="shared" si="3"/>
        <v>866667</v>
      </c>
    </row>
    <row r="312" spans="1:11" ht="15">
      <c r="A312" s="166">
        <v>44503</v>
      </c>
      <c r="B312" s="168">
        <v>1346</v>
      </c>
      <c r="C312" s="168">
        <v>1726</v>
      </c>
      <c r="D312" s="28">
        <v>1933</v>
      </c>
      <c r="E312" s="224" t="s">
        <v>1614</v>
      </c>
      <c r="F312" s="29"/>
      <c r="G312" s="239" t="s">
        <v>3850</v>
      </c>
      <c r="H312" s="15"/>
      <c r="I312" s="26">
        <v>5460000</v>
      </c>
      <c r="J312" s="26">
        <v>5026667</v>
      </c>
      <c r="K312" s="100">
        <f t="shared" si="3"/>
        <v>433333</v>
      </c>
    </row>
    <row r="313" spans="1:11" ht="15">
      <c r="A313" s="166">
        <v>44505</v>
      </c>
      <c r="B313" s="168">
        <v>1355</v>
      </c>
      <c r="C313" s="168">
        <v>1748</v>
      </c>
      <c r="D313" s="28">
        <v>1944</v>
      </c>
      <c r="E313" s="224" t="s">
        <v>3866</v>
      </c>
      <c r="F313" s="29"/>
      <c r="G313" s="239" t="s">
        <v>3851</v>
      </c>
      <c r="H313" s="15"/>
      <c r="I313" s="26">
        <v>10800000</v>
      </c>
      <c r="J313" s="26">
        <v>10080000</v>
      </c>
      <c r="K313" s="100">
        <f t="shared" si="3"/>
        <v>720000</v>
      </c>
    </row>
    <row r="314" spans="1:11" ht="15">
      <c r="A314" s="166">
        <v>44505</v>
      </c>
      <c r="B314" s="168">
        <v>1361</v>
      </c>
      <c r="C314" s="168">
        <v>1750</v>
      </c>
      <c r="D314" s="28">
        <v>1947</v>
      </c>
      <c r="E314" s="224" t="s">
        <v>3867</v>
      </c>
      <c r="F314" s="29"/>
      <c r="G314" s="239" t="s">
        <v>3852</v>
      </c>
      <c r="H314" s="15"/>
      <c r="I314" s="26">
        <v>14307706</v>
      </c>
      <c r="J314" s="26">
        <v>13527285</v>
      </c>
      <c r="K314" s="100">
        <f t="shared" si="3"/>
        <v>780421</v>
      </c>
    </row>
    <row r="315" spans="1:11" ht="15">
      <c r="A315" s="166">
        <v>44505</v>
      </c>
      <c r="B315" s="168">
        <v>1357</v>
      </c>
      <c r="C315" s="168">
        <v>1740</v>
      </c>
      <c r="D315" s="28">
        <v>1952</v>
      </c>
      <c r="E315" s="224" t="s">
        <v>3868</v>
      </c>
      <c r="F315" s="29"/>
      <c r="G315" s="239" t="s">
        <v>3853</v>
      </c>
      <c r="H315" s="15"/>
      <c r="I315" s="26">
        <v>9000000</v>
      </c>
      <c r="J315" s="26">
        <v>6750000</v>
      </c>
      <c r="K315" s="100">
        <f t="shared" si="3"/>
        <v>2250000</v>
      </c>
    </row>
    <row r="316" spans="1:11" ht="15">
      <c r="A316" s="166">
        <v>44505</v>
      </c>
      <c r="B316" s="168">
        <v>1352</v>
      </c>
      <c r="C316" s="168">
        <v>1735</v>
      </c>
      <c r="D316" s="28">
        <v>1956</v>
      </c>
      <c r="E316" s="224" t="s">
        <v>2143</v>
      </c>
      <c r="F316" s="29"/>
      <c r="G316" s="239" t="s">
        <v>3854</v>
      </c>
      <c r="H316" s="15"/>
      <c r="I316" s="26">
        <v>5200000</v>
      </c>
      <c r="J316" s="26">
        <v>1993333</v>
      </c>
      <c r="K316" s="100">
        <f t="shared" si="3"/>
        <v>3206667</v>
      </c>
    </row>
    <row r="317" spans="1:11" ht="15">
      <c r="A317" s="166">
        <v>44508</v>
      </c>
      <c r="B317" s="168">
        <v>1356</v>
      </c>
      <c r="C317" s="168">
        <v>1732</v>
      </c>
      <c r="D317" s="28">
        <v>1962</v>
      </c>
      <c r="E317" s="224" t="s">
        <v>3869</v>
      </c>
      <c r="F317" s="29"/>
      <c r="G317" s="239" t="s">
        <v>3855</v>
      </c>
      <c r="H317" s="15"/>
      <c r="I317" s="26">
        <v>16533333</v>
      </c>
      <c r="J317" s="26">
        <v>11466667</v>
      </c>
      <c r="K317" s="100">
        <f t="shared" si="3"/>
        <v>5066666</v>
      </c>
    </row>
    <row r="318" spans="1:11" ht="15">
      <c r="A318" s="166">
        <v>44511</v>
      </c>
      <c r="B318" s="168">
        <v>1372</v>
      </c>
      <c r="C318" s="168">
        <v>1617</v>
      </c>
      <c r="D318" s="28">
        <v>1975</v>
      </c>
      <c r="E318" s="224" t="s">
        <v>3781</v>
      </c>
      <c r="F318" s="29"/>
      <c r="G318" s="239" t="s">
        <v>3800</v>
      </c>
      <c r="H318" s="15"/>
      <c r="I318" s="26">
        <v>7500000</v>
      </c>
      <c r="J318" s="26">
        <v>4412100</v>
      </c>
      <c r="K318" s="100">
        <f t="shared" si="3"/>
        <v>3087900</v>
      </c>
    </row>
    <row r="319" spans="1:11" ht="15">
      <c r="A319" s="166">
        <v>44511</v>
      </c>
      <c r="B319" s="168">
        <v>1372</v>
      </c>
      <c r="C319" s="168">
        <v>1617</v>
      </c>
      <c r="D319" s="28">
        <v>1975</v>
      </c>
      <c r="E319" s="224" t="s">
        <v>3781</v>
      </c>
      <c r="F319" s="29"/>
      <c r="G319" s="239" t="s">
        <v>3800</v>
      </c>
      <c r="H319" s="15"/>
      <c r="I319" s="26">
        <v>39000000</v>
      </c>
      <c r="J319" s="26"/>
      <c r="K319" s="100">
        <f t="shared" si="3"/>
        <v>39000000</v>
      </c>
    </row>
    <row r="320" spans="1:11" ht="15">
      <c r="A320" s="166">
        <v>44512</v>
      </c>
      <c r="B320" s="168">
        <v>1371</v>
      </c>
      <c r="C320" s="168">
        <v>1754</v>
      </c>
      <c r="D320" s="28">
        <v>1976</v>
      </c>
      <c r="E320" s="224" t="s">
        <v>3870</v>
      </c>
      <c r="F320" s="29"/>
      <c r="G320" s="239" t="s">
        <v>3856</v>
      </c>
      <c r="H320" s="15"/>
      <c r="I320" s="26">
        <v>9310573</v>
      </c>
      <c r="J320" s="26">
        <v>8146751</v>
      </c>
      <c r="K320" s="100">
        <f t="shared" si="3"/>
        <v>1163822</v>
      </c>
    </row>
    <row r="321" spans="1:11" ht="15">
      <c r="A321" s="166">
        <v>44512</v>
      </c>
      <c r="B321" s="168">
        <v>1374</v>
      </c>
      <c r="C321" s="168">
        <v>1761</v>
      </c>
      <c r="D321" s="28">
        <v>1977</v>
      </c>
      <c r="E321" s="224" t="s">
        <v>3871</v>
      </c>
      <c r="F321" s="29"/>
      <c r="G321" s="239" t="s">
        <v>63</v>
      </c>
      <c r="H321" s="15"/>
      <c r="I321" s="26">
        <v>7596667</v>
      </c>
      <c r="J321" s="26">
        <v>6306667</v>
      </c>
      <c r="K321" s="100">
        <f t="shared" si="3"/>
        <v>1290000</v>
      </c>
    </row>
    <row r="322" spans="1:11" ht="15">
      <c r="A322" s="166">
        <v>44512</v>
      </c>
      <c r="B322" s="168">
        <v>1377</v>
      </c>
      <c r="C322" s="168">
        <v>1775</v>
      </c>
      <c r="D322" s="28">
        <v>1979</v>
      </c>
      <c r="E322" s="224" t="s">
        <v>3872</v>
      </c>
      <c r="F322" s="29"/>
      <c r="G322" s="239" t="s">
        <v>3857</v>
      </c>
      <c r="H322" s="15"/>
      <c r="I322" s="26">
        <v>9666667</v>
      </c>
      <c r="J322" s="26">
        <v>9666667</v>
      </c>
      <c r="K322" s="100">
        <f t="shared" si="3"/>
        <v>0</v>
      </c>
    </row>
    <row r="323" spans="1:11" ht="15">
      <c r="A323" s="166">
        <v>44512</v>
      </c>
      <c r="B323" s="168">
        <v>1383</v>
      </c>
      <c r="C323" s="168">
        <v>1770</v>
      </c>
      <c r="D323" s="28">
        <v>1982</v>
      </c>
      <c r="E323" s="224" t="s">
        <v>3833</v>
      </c>
      <c r="F323" s="29"/>
      <c r="G323" s="239" t="s">
        <v>3813</v>
      </c>
      <c r="H323" s="15"/>
      <c r="I323" s="26">
        <v>135000000</v>
      </c>
      <c r="J323" s="26"/>
      <c r="K323" s="100">
        <f t="shared" si="3"/>
        <v>135000000</v>
      </c>
    </row>
    <row r="324" spans="1:11" ht="15">
      <c r="A324" s="166">
        <v>44517</v>
      </c>
      <c r="B324" s="168">
        <v>1385</v>
      </c>
      <c r="C324" s="168">
        <v>1752</v>
      </c>
      <c r="D324" s="28">
        <v>1987</v>
      </c>
      <c r="E324" s="224" t="s">
        <v>3873</v>
      </c>
      <c r="F324" s="29"/>
      <c r="G324" s="239" t="s">
        <v>3858</v>
      </c>
      <c r="H324" s="15"/>
      <c r="I324" s="26">
        <v>10000000</v>
      </c>
      <c r="J324" s="26">
        <v>2000000</v>
      </c>
      <c r="K324" s="100">
        <f t="shared" si="3"/>
        <v>8000000</v>
      </c>
    </row>
    <row r="325" spans="1:11" ht="15">
      <c r="A325" s="166">
        <v>44517</v>
      </c>
      <c r="B325" s="168">
        <v>1375</v>
      </c>
      <c r="C325" s="168">
        <v>1762</v>
      </c>
      <c r="D325" s="28">
        <v>1988</v>
      </c>
      <c r="E325" s="224" t="s">
        <v>3874</v>
      </c>
      <c r="F325" s="29"/>
      <c r="G325" s="239" t="s">
        <v>3859</v>
      </c>
      <c r="H325" s="15"/>
      <c r="I325" s="26">
        <v>12133333</v>
      </c>
      <c r="J325" s="26">
        <v>9533333</v>
      </c>
      <c r="K325" s="100">
        <f t="shared" si="3"/>
        <v>2600000</v>
      </c>
    </row>
    <row r="326" spans="1:11" ht="15">
      <c r="A326" s="166">
        <v>44517</v>
      </c>
      <c r="B326" s="168">
        <v>1386</v>
      </c>
      <c r="C326" s="168">
        <v>1788</v>
      </c>
      <c r="D326" s="28">
        <v>1989</v>
      </c>
      <c r="E326" s="224" t="s">
        <v>3875</v>
      </c>
      <c r="F326" s="29"/>
      <c r="G326" s="239" t="s">
        <v>3860</v>
      </c>
      <c r="H326" s="15"/>
      <c r="I326" s="26">
        <v>11440000</v>
      </c>
      <c r="J326" s="26">
        <v>11180000</v>
      </c>
      <c r="K326" s="100">
        <f t="shared" si="3"/>
        <v>260000</v>
      </c>
    </row>
    <row r="327" spans="1:11" ht="15">
      <c r="A327" s="166">
        <v>44517</v>
      </c>
      <c r="B327" s="168">
        <v>1380</v>
      </c>
      <c r="C327" s="168">
        <v>1772</v>
      </c>
      <c r="D327" s="28">
        <v>1992</v>
      </c>
      <c r="E327" s="224" t="s">
        <v>3876</v>
      </c>
      <c r="F327" s="29"/>
      <c r="G327" s="239" t="s">
        <v>1224</v>
      </c>
      <c r="H327" s="15"/>
      <c r="I327" s="26">
        <v>15000000</v>
      </c>
      <c r="J327" s="26">
        <v>14333333</v>
      </c>
      <c r="K327" s="100">
        <f t="shared" si="3"/>
        <v>666667</v>
      </c>
    </row>
    <row r="328" spans="1:11" ht="15">
      <c r="A328" s="166">
        <v>44518</v>
      </c>
      <c r="B328" s="168">
        <v>1384</v>
      </c>
      <c r="C328" s="168">
        <v>1763</v>
      </c>
      <c r="D328" s="28">
        <v>1998</v>
      </c>
      <c r="E328" s="224" t="s">
        <v>3873</v>
      </c>
      <c r="F328" s="29"/>
      <c r="G328" s="239" t="s">
        <v>3861</v>
      </c>
      <c r="H328" s="15"/>
      <c r="I328" s="26">
        <v>8833333</v>
      </c>
      <c r="J328" s="26">
        <v>2166667</v>
      </c>
      <c r="K328" s="100">
        <f t="shared" si="3"/>
        <v>6666666</v>
      </c>
    </row>
    <row r="329" spans="1:11" ht="15">
      <c r="A329" s="166">
        <v>44525</v>
      </c>
      <c r="B329" s="168">
        <v>1396</v>
      </c>
      <c r="C329" s="168">
        <v>1798</v>
      </c>
      <c r="D329" s="28">
        <v>2016</v>
      </c>
      <c r="E329" s="224" t="s">
        <v>3877</v>
      </c>
      <c r="F329" s="29"/>
      <c r="G329" s="239" t="s">
        <v>3862</v>
      </c>
      <c r="H329" s="15"/>
      <c r="I329" s="26">
        <v>10133333</v>
      </c>
      <c r="J329" s="26">
        <v>9600000</v>
      </c>
      <c r="K329" s="100">
        <f t="shared" si="3"/>
        <v>533333</v>
      </c>
    </row>
    <row r="330" spans="1:11" ht="15">
      <c r="A330" s="166">
        <v>44530</v>
      </c>
      <c r="B330" s="168">
        <v>1402</v>
      </c>
      <c r="C330" s="168">
        <v>1818</v>
      </c>
      <c r="D330" s="28">
        <v>2022</v>
      </c>
      <c r="E330" s="224" t="s">
        <v>3878</v>
      </c>
      <c r="F330" s="29"/>
      <c r="G330" s="239" t="s">
        <v>3863</v>
      </c>
      <c r="H330" s="15"/>
      <c r="I330" s="26">
        <v>766079</v>
      </c>
      <c r="J330" s="26">
        <v>766079</v>
      </c>
      <c r="K330" s="100">
        <f t="shared" si="3"/>
        <v>0</v>
      </c>
    </row>
    <row r="331" spans="1:11" ht="15">
      <c r="A331" s="166">
        <v>44530</v>
      </c>
      <c r="B331" s="168">
        <v>1403</v>
      </c>
      <c r="C331" s="168">
        <v>1818</v>
      </c>
      <c r="D331" s="28">
        <v>2023</v>
      </c>
      <c r="E331" s="224" t="s">
        <v>3878</v>
      </c>
      <c r="F331" s="29"/>
      <c r="G331" s="239" t="s">
        <v>3864</v>
      </c>
      <c r="H331" s="15"/>
      <c r="I331" s="26">
        <v>3310782</v>
      </c>
      <c r="J331" s="26">
        <v>3310782</v>
      </c>
      <c r="K331" s="100">
        <f t="shared" si="3"/>
        <v>0</v>
      </c>
    </row>
    <row r="332" spans="1:11" ht="15">
      <c r="A332" s="166">
        <v>44530</v>
      </c>
      <c r="B332" s="168">
        <v>1404</v>
      </c>
      <c r="C332" s="168">
        <v>1818</v>
      </c>
      <c r="D332" s="28">
        <v>2024</v>
      </c>
      <c r="E332" s="224" t="s">
        <v>3878</v>
      </c>
      <c r="F332" s="29"/>
      <c r="G332" s="239" t="s">
        <v>3865</v>
      </c>
      <c r="H332" s="15"/>
      <c r="I332" s="26">
        <v>1098652</v>
      </c>
      <c r="J332" s="26">
        <v>1098652</v>
      </c>
      <c r="K332" s="100">
        <f t="shared" si="3"/>
        <v>0</v>
      </c>
    </row>
    <row r="333" spans="1:11" ht="15">
      <c r="A333" s="166">
        <v>44533</v>
      </c>
      <c r="B333" s="168">
        <v>1403</v>
      </c>
      <c r="C333" s="168">
        <v>1824</v>
      </c>
      <c r="D333" s="28">
        <v>2042</v>
      </c>
      <c r="E333" s="224" t="s">
        <v>3968</v>
      </c>
      <c r="F333" s="29"/>
      <c r="G333" s="239" t="s">
        <v>3864</v>
      </c>
      <c r="H333" s="15"/>
      <c r="I333" s="26">
        <v>820000</v>
      </c>
      <c r="J333" s="26">
        <v>820000</v>
      </c>
      <c r="K333" s="100">
        <f t="shared" si="3"/>
        <v>0</v>
      </c>
    </row>
    <row r="334" spans="1:11" ht="15">
      <c r="A334" s="166">
        <v>44536</v>
      </c>
      <c r="B334" s="168">
        <v>1408</v>
      </c>
      <c r="C334" s="168">
        <v>1826</v>
      </c>
      <c r="D334" s="28">
        <v>2048</v>
      </c>
      <c r="E334" s="224" t="s">
        <v>3969</v>
      </c>
      <c r="F334" s="29"/>
      <c r="G334" s="239" t="s">
        <v>3964</v>
      </c>
      <c r="H334" s="15"/>
      <c r="I334" s="26">
        <v>1750000</v>
      </c>
      <c r="J334" s="26">
        <v>1250000</v>
      </c>
      <c r="K334" s="100">
        <f t="shared" si="3"/>
        <v>500000</v>
      </c>
    </row>
    <row r="335" spans="1:11" ht="15">
      <c r="A335" s="166">
        <v>44537</v>
      </c>
      <c r="B335" s="168">
        <v>1410</v>
      </c>
      <c r="C335" s="168">
        <v>1823</v>
      </c>
      <c r="D335" s="28">
        <v>2061</v>
      </c>
      <c r="E335" s="224" t="s">
        <v>3970</v>
      </c>
      <c r="F335" s="29"/>
      <c r="G335" s="239" t="s">
        <v>3965</v>
      </c>
      <c r="H335" s="15"/>
      <c r="I335" s="26">
        <v>4500000</v>
      </c>
      <c r="J335" s="26">
        <v>3600000</v>
      </c>
      <c r="K335" s="100">
        <f t="shared" si="3"/>
        <v>900000</v>
      </c>
    </row>
    <row r="336" spans="1:11" ht="15">
      <c r="A336" s="166">
        <v>44537</v>
      </c>
      <c r="B336" s="168">
        <v>761</v>
      </c>
      <c r="C336" s="168">
        <v>1853</v>
      </c>
      <c r="D336" s="28">
        <v>2070</v>
      </c>
      <c r="E336" s="224" t="s">
        <v>3922</v>
      </c>
      <c r="F336" s="29"/>
      <c r="G336" s="239" t="s">
        <v>1979</v>
      </c>
      <c r="H336" s="15"/>
      <c r="I336" s="26">
        <v>180000000</v>
      </c>
      <c r="J336" s="26">
        <v>0</v>
      </c>
      <c r="K336" s="100">
        <f t="shared" si="3"/>
        <v>180000000</v>
      </c>
    </row>
    <row r="337" spans="1:11" ht="15">
      <c r="A337" s="166">
        <v>44547</v>
      </c>
      <c r="B337" s="168">
        <v>1416</v>
      </c>
      <c r="C337" s="168">
        <v>1880</v>
      </c>
      <c r="D337" s="28">
        <v>2198</v>
      </c>
      <c r="E337" s="224" t="s">
        <v>3971</v>
      </c>
      <c r="F337" s="29"/>
      <c r="G337" s="239" t="s">
        <v>3966</v>
      </c>
      <c r="H337" s="15"/>
      <c r="I337" s="26">
        <v>3028333</v>
      </c>
      <c r="J337" s="26">
        <v>0</v>
      </c>
      <c r="K337" s="100">
        <f t="shared" si="3"/>
        <v>3028333</v>
      </c>
    </row>
    <row r="338" spans="1:11" ht="15">
      <c r="A338" s="166">
        <v>44547</v>
      </c>
      <c r="B338" s="168">
        <v>1415</v>
      </c>
      <c r="C338" s="168">
        <v>1870</v>
      </c>
      <c r="D338" s="28">
        <v>2199</v>
      </c>
      <c r="E338" s="224" t="s">
        <v>3971</v>
      </c>
      <c r="F338" s="29"/>
      <c r="G338" s="239" t="s">
        <v>3967</v>
      </c>
      <c r="H338" s="15"/>
      <c r="I338" s="26">
        <v>3028333</v>
      </c>
      <c r="J338" s="26">
        <v>0</v>
      </c>
      <c r="K338" s="100">
        <f t="shared" si="3"/>
        <v>3028333</v>
      </c>
    </row>
    <row r="339" spans="1:11" ht="15">
      <c r="A339" s="166">
        <v>44550</v>
      </c>
      <c r="B339" s="168">
        <v>1397</v>
      </c>
      <c r="C339" s="168">
        <v>1816</v>
      </c>
      <c r="D339" s="28">
        <v>2238</v>
      </c>
      <c r="E339" s="224" t="s">
        <v>3972</v>
      </c>
      <c r="F339" s="29"/>
      <c r="G339" s="239" t="s">
        <v>1637</v>
      </c>
      <c r="H339" s="15"/>
      <c r="I339" s="26">
        <v>2500000</v>
      </c>
      <c r="J339" s="26">
        <v>0</v>
      </c>
      <c r="K339" s="100">
        <f t="shared" si="3"/>
        <v>2500000</v>
      </c>
    </row>
    <row r="340" spans="1:11" ht="15">
      <c r="A340" s="166">
        <v>44559</v>
      </c>
      <c r="B340" s="168">
        <v>55687866</v>
      </c>
      <c r="C340" s="168">
        <v>1878</v>
      </c>
      <c r="D340" s="28">
        <v>2282</v>
      </c>
      <c r="E340" s="224" t="s">
        <v>3909</v>
      </c>
      <c r="F340" s="29"/>
      <c r="G340" s="239" t="s">
        <v>1165</v>
      </c>
      <c r="H340" s="15"/>
      <c r="I340" s="26">
        <v>10054042</v>
      </c>
      <c r="J340" s="26">
        <v>10054042</v>
      </c>
      <c r="K340" s="100">
        <f t="shared" si="3"/>
        <v>0</v>
      </c>
    </row>
    <row r="341" spans="1:11" ht="15">
      <c r="A341" s="166">
        <v>44560</v>
      </c>
      <c r="B341" s="168">
        <v>1377</v>
      </c>
      <c r="C341" s="168">
        <v>1775</v>
      </c>
      <c r="D341" s="28">
        <v>2284</v>
      </c>
      <c r="E341" s="224" t="s">
        <v>3872</v>
      </c>
      <c r="F341" s="29"/>
      <c r="G341" s="239" t="s">
        <v>3857</v>
      </c>
      <c r="H341" s="15"/>
      <c r="I341" s="26">
        <v>300000</v>
      </c>
      <c r="J341" s="26">
        <v>300000</v>
      </c>
      <c r="K341" s="100">
        <f t="shared" si="3"/>
        <v>0</v>
      </c>
    </row>
    <row r="342" spans="1:11" ht="15">
      <c r="A342" s="17"/>
      <c r="B342" s="18"/>
      <c r="C342" s="18"/>
      <c r="D342" s="18"/>
      <c r="E342" s="223"/>
      <c r="F342" s="18"/>
      <c r="G342" s="298" t="s">
        <v>19</v>
      </c>
      <c r="H342" s="299"/>
      <c r="I342" s="31">
        <f>SUM(I13:I341)</f>
        <v>7344453344</v>
      </c>
      <c r="J342" s="31">
        <f>SUM(J13:J341)</f>
        <v>6004827383</v>
      </c>
      <c r="K342" s="31">
        <f>SUM(K13:K341)</f>
        <v>1339625961</v>
      </c>
    </row>
    <row r="343" spans="1:11" ht="12.75" customHeight="1">
      <c r="A343" s="17"/>
      <c r="B343" s="18"/>
      <c r="C343" s="18"/>
      <c r="D343" s="18"/>
      <c r="E343" s="223"/>
      <c r="F343" s="22"/>
      <c r="G343" s="223"/>
      <c r="H343" s="18"/>
      <c r="I343" s="22"/>
      <c r="J343" s="22"/>
      <c r="K343" s="23"/>
    </row>
    <row r="344" spans="1:11" ht="24.95" customHeight="1">
      <c r="A344" s="76" t="s">
        <v>38</v>
      </c>
      <c r="B344" s="77" t="s">
        <v>40</v>
      </c>
      <c r="C344" s="76" t="s">
        <v>41</v>
      </c>
      <c r="D344" s="78" t="s">
        <v>39</v>
      </c>
      <c r="E344" s="232" t="s">
        <v>15</v>
      </c>
      <c r="F344" s="76" t="s">
        <v>34</v>
      </c>
      <c r="G344" s="232" t="s">
        <v>16</v>
      </c>
      <c r="H344" s="76" t="s">
        <v>22</v>
      </c>
      <c r="I344" s="76" t="s">
        <v>12</v>
      </c>
      <c r="J344" s="76" t="s">
        <v>23</v>
      </c>
      <c r="K344" s="76" t="s">
        <v>4</v>
      </c>
    </row>
    <row r="345" spans="1:11" ht="24.95" customHeight="1">
      <c r="A345" s="79">
        <v>8000000000</v>
      </c>
      <c r="B345" s="79">
        <v>0</v>
      </c>
      <c r="C345" s="79">
        <v>0</v>
      </c>
      <c r="D345" s="80">
        <f>+A345+B345-C345</f>
        <v>8000000000</v>
      </c>
      <c r="E345" s="233">
        <f>+I342</f>
        <v>7344453344</v>
      </c>
      <c r="F345" s="81">
        <f>+E345/D345</f>
        <v>0.91805666799999996</v>
      </c>
      <c r="G345" s="233">
        <f>+I10</f>
        <v>0</v>
      </c>
      <c r="H345" s="80">
        <f>+D345-E345-G345</f>
        <v>655546656</v>
      </c>
      <c r="I345" s="80">
        <f>+J342</f>
        <v>6004827383</v>
      </c>
      <c r="J345" s="81">
        <f>+I345/D345</f>
        <v>0.75060342287500004</v>
      </c>
      <c r="K345" s="80">
        <f>+K342</f>
        <v>1339625961</v>
      </c>
    </row>
    <row r="346" spans="1:11" ht="15">
      <c r="A346" s="82">
        <v>1</v>
      </c>
      <c r="B346" s="82">
        <v>2</v>
      </c>
      <c r="C346" s="82">
        <v>3</v>
      </c>
      <c r="D346" s="82" t="s">
        <v>3</v>
      </c>
      <c r="E346" s="235">
        <v>5</v>
      </c>
      <c r="F346" s="82" t="s">
        <v>18</v>
      </c>
      <c r="G346" s="235">
        <v>7</v>
      </c>
      <c r="H346" s="82" t="s">
        <v>9</v>
      </c>
      <c r="I346" s="82">
        <v>9</v>
      </c>
      <c r="J346" s="82" t="s">
        <v>24</v>
      </c>
      <c r="K346" s="82" t="s">
        <v>25</v>
      </c>
    </row>
    <row r="348" spans="2:2" ht="15">
      <c r="B348" s="68"/>
    </row>
    <row r="349" spans="2:9" ht="15">
      <c r="B349" s="68"/>
      <c r="I349" s="68"/>
    </row>
    <row r="350" spans="2:2" ht="15">
      <c r="B350" s="68"/>
    </row>
  </sheetData>
  <mergeCells count="16">
    <mergeCell ref="J11:J12"/>
    <mergeCell ref="E12:F12"/>
    <mergeCell ref="G12:H12"/>
    <mergeCell ref="A3:J3"/>
    <mergeCell ref="A5:A6"/>
    <mergeCell ref="B5:B6"/>
    <mergeCell ref="D5:D6"/>
    <mergeCell ref="E5:H5"/>
    <mergeCell ref="I5:I6"/>
    <mergeCell ref="J5:K6"/>
    <mergeCell ref="E6:H6"/>
    <mergeCell ref="G342:H342"/>
    <mergeCell ref="G10:H10"/>
    <mergeCell ref="A11:A12"/>
    <mergeCell ref="E11:H11"/>
    <mergeCell ref="I11: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K87"/>
  <sheetViews>
    <sheetView workbookViewId="0" topLeftCell="A1">
      <selection pane="topLeft" activeCell="A7" sqref="A7:XFD13"/>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11" width="15.714285714285714" style="3" customWidth="1"/>
    <col min="12" max="16384" width="11.428571428571429" style="3"/>
  </cols>
  <sheetData>
    <row r="1" spans="1:11" ht="12.75" customHeight="1">
      <c r="A1" s="1" t="s">
        <v>35</v>
      </c>
      <c r="B1" s="1"/>
      <c r="C1" s="1"/>
      <c r="D1" s="1"/>
      <c r="E1" s="2"/>
      <c r="F1" s="1"/>
      <c r="G1" s="2"/>
      <c r="H1" s="2"/>
      <c r="I1" s="2"/>
      <c r="J1" s="2"/>
      <c r="K1" s="2"/>
    </row>
    <row r="2" spans="1:11" ht="12.75" customHeight="1">
      <c r="A2" s="2"/>
      <c r="B2" s="2"/>
      <c r="C2" s="2"/>
      <c r="D2" s="2"/>
      <c r="E2" s="2"/>
      <c r="F2" s="2"/>
      <c r="G2" s="2"/>
      <c r="H2" s="2"/>
      <c r="I2" s="2"/>
      <c r="J2" s="2"/>
      <c r="K2" s="72"/>
    </row>
    <row r="3" spans="1:11" ht="15" customHeight="1">
      <c r="A3" s="284" t="s">
        <v>303</v>
      </c>
      <c r="B3" s="284"/>
      <c r="C3" s="284"/>
      <c r="D3" s="284"/>
      <c r="E3" s="284"/>
      <c r="F3" s="284"/>
      <c r="G3" s="284"/>
      <c r="H3" s="284"/>
      <c r="I3" s="284"/>
      <c r="J3" s="284"/>
      <c r="K3" s="74" t="s">
        <v>3889</v>
      </c>
    </row>
    <row r="4" spans="1:11" ht="12.75" customHeight="1">
      <c r="A4" s="4"/>
      <c r="B4" s="4"/>
      <c r="C4" s="4"/>
      <c r="D4" s="4"/>
      <c r="E4" s="4"/>
      <c r="F4" s="4"/>
      <c r="G4" s="4"/>
      <c r="H4" s="4"/>
      <c r="I4" s="4"/>
      <c r="J4" s="4"/>
      <c r="K4" s="5"/>
    </row>
    <row r="5" spans="1:11" ht="15">
      <c r="A5" s="287" t="s">
        <v>5</v>
      </c>
      <c r="B5" s="303" t="s">
        <v>26</v>
      </c>
      <c r="C5" s="103"/>
      <c r="D5" s="287" t="s">
        <v>17</v>
      </c>
      <c r="E5" s="300" t="s">
        <v>16</v>
      </c>
      <c r="F5" s="301"/>
      <c r="G5" s="301"/>
      <c r="H5" s="302"/>
      <c r="I5" s="287" t="s">
        <v>7</v>
      </c>
      <c r="J5" s="294" t="s">
        <v>21</v>
      </c>
      <c r="K5" s="295"/>
    </row>
    <row r="6" spans="1:11" ht="15">
      <c r="A6" s="288"/>
      <c r="B6" s="304"/>
      <c r="C6" s="104"/>
      <c r="D6" s="288"/>
      <c r="E6" s="300" t="s">
        <v>2</v>
      </c>
      <c r="F6" s="301"/>
      <c r="G6" s="301"/>
      <c r="H6" s="302"/>
      <c r="I6" s="288"/>
      <c r="J6" s="296"/>
      <c r="K6" s="297"/>
    </row>
    <row r="7" spans="1:11" ht="12.75" customHeight="1">
      <c r="A7" s="256"/>
      <c r="B7" s="8"/>
      <c r="C7" s="9"/>
      <c r="D7" s="255"/>
      <c r="E7" s="276"/>
      <c r="F7" s="10"/>
      <c r="G7" s="11"/>
      <c r="H7" s="12"/>
      <c r="I7" s="254"/>
      <c r="J7" s="8"/>
      <c r="K7" s="9"/>
    </row>
    <row r="8" spans="1:11" ht="15" customHeight="1">
      <c r="A8" s="244"/>
      <c r="B8" s="8"/>
      <c r="C8" s="9"/>
      <c r="D8" s="245"/>
      <c r="E8" s="178"/>
      <c r="F8" s="10"/>
      <c r="G8" s="11"/>
      <c r="H8" s="12"/>
      <c r="I8" s="243"/>
      <c r="J8" s="8"/>
      <c r="K8" s="9"/>
    </row>
    <row r="9" spans="1:11" ht="12.75" customHeight="1">
      <c r="A9" s="247"/>
      <c r="B9" s="14"/>
      <c r="C9" s="15"/>
      <c r="D9" s="246"/>
      <c r="E9" s="187"/>
      <c r="F9" s="10"/>
      <c r="G9" s="10"/>
      <c r="H9" s="9"/>
      <c r="I9" s="243"/>
      <c r="J9" s="13"/>
      <c r="K9" s="12"/>
    </row>
    <row r="10" spans="1:11" ht="15">
      <c r="A10" s="17"/>
      <c r="B10" s="18"/>
      <c r="C10" s="18"/>
      <c r="D10" s="18"/>
      <c r="E10" s="18"/>
      <c r="F10" s="18"/>
      <c r="G10" s="298" t="s">
        <v>19</v>
      </c>
      <c r="H10" s="299"/>
      <c r="I10" s="19">
        <f>SUM(I7:I9)</f>
        <v>0</v>
      </c>
      <c r="J10" s="20"/>
      <c r="K10" s="21"/>
    </row>
    <row r="11" spans="1:11" ht="15">
      <c r="A11" s="287" t="s">
        <v>5</v>
      </c>
      <c r="B11" s="32" t="s">
        <v>13</v>
      </c>
      <c r="C11" s="101" t="s">
        <v>20</v>
      </c>
      <c r="D11" s="24" t="s">
        <v>20</v>
      </c>
      <c r="E11" s="300" t="s">
        <v>15</v>
      </c>
      <c r="F11" s="301"/>
      <c r="G11" s="301"/>
      <c r="H11" s="302"/>
      <c r="I11" s="287" t="s">
        <v>7</v>
      </c>
      <c r="J11" s="287" t="s">
        <v>6</v>
      </c>
      <c r="K11" s="101" t="s">
        <v>0</v>
      </c>
    </row>
    <row r="12" spans="1:11" ht="15">
      <c r="A12" s="288"/>
      <c r="B12" s="102" t="s">
        <v>14</v>
      </c>
      <c r="C12" s="102" t="s">
        <v>11</v>
      </c>
      <c r="D12" s="102" t="s">
        <v>10</v>
      </c>
      <c r="E12" s="300" t="s">
        <v>2</v>
      </c>
      <c r="F12" s="302"/>
      <c r="G12" s="300" t="s">
        <v>8</v>
      </c>
      <c r="H12" s="302"/>
      <c r="I12" s="288"/>
      <c r="J12" s="288"/>
      <c r="K12" s="102" t="s">
        <v>1</v>
      </c>
    </row>
    <row r="13" spans="1:11" ht="12.75" customHeight="1">
      <c r="A13" s="25">
        <v>44203</v>
      </c>
      <c r="B13" s="107">
        <v>22</v>
      </c>
      <c r="C13" s="69">
        <v>42</v>
      </c>
      <c r="D13" s="69">
        <v>37</v>
      </c>
      <c r="E13" s="143" t="s">
        <v>586</v>
      </c>
      <c r="F13" s="9"/>
      <c r="G13" s="117" t="s">
        <v>322</v>
      </c>
      <c r="H13" s="9"/>
      <c r="I13" s="26">
        <v>112416667</v>
      </c>
      <c r="J13" s="268">
        <v>111783333</v>
      </c>
      <c r="K13" s="26">
        <f>+I13-J13</f>
        <v>633334</v>
      </c>
    </row>
    <row r="14" spans="1:11" ht="15">
      <c r="A14" s="25">
        <v>44208</v>
      </c>
      <c r="B14" s="28">
        <v>100</v>
      </c>
      <c r="C14" s="71">
        <v>170</v>
      </c>
      <c r="D14" s="71">
        <v>105</v>
      </c>
      <c r="E14" s="143" t="s">
        <v>587</v>
      </c>
      <c r="F14" s="29"/>
      <c r="G14" s="87" t="s">
        <v>349</v>
      </c>
      <c r="H14" s="30"/>
      <c r="I14" s="26">
        <v>30720000</v>
      </c>
      <c r="J14" s="268">
        <v>30720000</v>
      </c>
      <c r="K14" s="26">
        <f t="shared" si="0" ref="K14:K78">+I14-J14</f>
        <v>0</v>
      </c>
    </row>
    <row r="15" spans="1:11" ht="15">
      <c r="A15" s="27">
        <v>44208</v>
      </c>
      <c r="B15" s="28">
        <v>101</v>
      </c>
      <c r="C15" s="28">
        <v>172</v>
      </c>
      <c r="D15" s="28">
        <v>109</v>
      </c>
      <c r="E15" s="149" t="s">
        <v>588</v>
      </c>
      <c r="F15" s="29"/>
      <c r="G15" s="87" t="s">
        <v>52</v>
      </c>
      <c r="H15" s="15"/>
      <c r="I15" s="26">
        <v>84821333</v>
      </c>
      <c r="J15" s="268">
        <v>83387733</v>
      </c>
      <c r="K15" s="26">
        <f t="shared" si="0"/>
        <v>1433600</v>
      </c>
    </row>
    <row r="16" spans="1:11" ht="15">
      <c r="A16" s="27">
        <v>44221</v>
      </c>
      <c r="B16" s="28">
        <v>313</v>
      </c>
      <c r="C16" s="28">
        <v>418</v>
      </c>
      <c r="D16" s="28">
        <v>323</v>
      </c>
      <c r="E16" s="143" t="s">
        <v>589</v>
      </c>
      <c r="F16" s="29"/>
      <c r="G16" s="152" t="s">
        <v>324</v>
      </c>
      <c r="H16" s="15"/>
      <c r="I16" s="26">
        <v>71500000</v>
      </c>
      <c r="J16" s="268">
        <v>71500000</v>
      </c>
      <c r="K16" s="26">
        <f t="shared" si="0"/>
        <v>0</v>
      </c>
    </row>
    <row r="17" spans="1:11" ht="15">
      <c r="A17" s="166">
        <v>44222</v>
      </c>
      <c r="B17" s="28">
        <v>336</v>
      </c>
      <c r="C17" s="168">
        <v>421</v>
      </c>
      <c r="D17" s="168">
        <v>339</v>
      </c>
      <c r="E17" s="143" t="s">
        <v>590</v>
      </c>
      <c r="F17" s="29"/>
      <c r="G17" s="176" t="s">
        <v>323</v>
      </c>
      <c r="H17" s="15"/>
      <c r="I17" s="26">
        <v>99000000</v>
      </c>
      <c r="J17" s="268">
        <v>99000000</v>
      </c>
      <c r="K17" s="26">
        <f t="shared" si="0"/>
        <v>0</v>
      </c>
    </row>
    <row r="18" spans="1:11" ht="15">
      <c r="A18" s="166">
        <v>44222</v>
      </c>
      <c r="B18" s="28">
        <v>337</v>
      </c>
      <c r="C18" s="168">
        <v>431</v>
      </c>
      <c r="D18" s="168">
        <v>340</v>
      </c>
      <c r="E18" s="143" t="s">
        <v>591</v>
      </c>
      <c r="F18" s="29"/>
      <c r="G18" s="152" t="s">
        <v>385</v>
      </c>
      <c r="H18" s="15"/>
      <c r="I18" s="26">
        <v>104500000</v>
      </c>
      <c r="J18" s="268">
        <v>104500000</v>
      </c>
      <c r="K18" s="26">
        <f t="shared" si="0"/>
        <v>0</v>
      </c>
    </row>
    <row r="19" spans="1:11" ht="15">
      <c r="A19" s="166">
        <v>44223</v>
      </c>
      <c r="B19" s="28">
        <v>340</v>
      </c>
      <c r="C19" s="168">
        <v>432</v>
      </c>
      <c r="D19" s="168">
        <v>367</v>
      </c>
      <c r="E19" s="143" t="s">
        <v>592</v>
      </c>
      <c r="F19" s="29"/>
      <c r="G19" s="152" t="s">
        <v>46</v>
      </c>
      <c r="H19" s="15"/>
      <c r="I19" s="26">
        <v>25804800</v>
      </c>
      <c r="J19" s="268">
        <v>25804800</v>
      </c>
      <c r="K19" s="26">
        <f t="shared" si="0"/>
        <v>0</v>
      </c>
    </row>
    <row r="20" spans="1:11" ht="15">
      <c r="A20" s="166">
        <v>44228</v>
      </c>
      <c r="B20" s="28" t="s">
        <v>1239</v>
      </c>
      <c r="C20" s="168" t="s">
        <v>442</v>
      </c>
      <c r="D20" s="168" t="s">
        <v>1231</v>
      </c>
      <c r="E20" s="143" t="s">
        <v>1214</v>
      </c>
      <c r="F20" s="29"/>
      <c r="G20" s="152" t="s">
        <v>1222</v>
      </c>
      <c r="H20" s="15"/>
      <c r="I20" s="26">
        <v>34406400</v>
      </c>
      <c r="J20" s="268">
        <v>34406400</v>
      </c>
      <c r="K20" s="26">
        <f t="shared" si="0"/>
        <v>0</v>
      </c>
    </row>
    <row r="21" spans="1:11" ht="15">
      <c r="A21" s="166">
        <v>44229</v>
      </c>
      <c r="B21" s="28" t="s">
        <v>1240</v>
      </c>
      <c r="C21" s="168" t="s">
        <v>1118</v>
      </c>
      <c r="D21" s="168" t="s">
        <v>1232</v>
      </c>
      <c r="E21" s="143" t="s">
        <v>1215</v>
      </c>
      <c r="F21" s="29"/>
      <c r="G21" s="152" t="s">
        <v>1223</v>
      </c>
      <c r="H21" s="15"/>
      <c r="I21" s="26">
        <v>36864000</v>
      </c>
      <c r="J21" s="268">
        <v>36864000</v>
      </c>
      <c r="K21" s="26">
        <f t="shared" si="0"/>
        <v>0</v>
      </c>
    </row>
    <row r="22" spans="1:11" ht="15">
      <c r="A22" s="166">
        <v>44230</v>
      </c>
      <c r="B22" s="28" t="s">
        <v>1241</v>
      </c>
      <c r="C22" s="168" t="s">
        <v>999</v>
      </c>
      <c r="D22" s="168" t="s">
        <v>1233</v>
      </c>
      <c r="E22" s="143" t="s">
        <v>1216</v>
      </c>
      <c r="F22" s="29"/>
      <c r="G22" s="152" t="s">
        <v>1224</v>
      </c>
      <c r="H22" s="15"/>
      <c r="I22" s="26">
        <v>60000000</v>
      </c>
      <c r="J22" s="268">
        <v>60000000</v>
      </c>
      <c r="K22" s="26">
        <f t="shared" si="0"/>
        <v>0</v>
      </c>
    </row>
    <row r="23" spans="1:11" ht="15">
      <c r="A23" s="166">
        <v>44235</v>
      </c>
      <c r="B23" s="28" t="s">
        <v>1122</v>
      </c>
      <c r="C23" s="168" t="s">
        <v>1095</v>
      </c>
      <c r="D23" s="168" t="s">
        <v>892</v>
      </c>
      <c r="E23" s="143" t="s">
        <v>1054</v>
      </c>
      <c r="F23" s="29"/>
      <c r="G23" s="152" t="s">
        <v>1072</v>
      </c>
      <c r="H23" s="15"/>
      <c r="I23" s="26">
        <v>23941200</v>
      </c>
      <c r="J23" s="268">
        <v>17277916</v>
      </c>
      <c r="K23" s="26">
        <f t="shared" si="0"/>
        <v>6663284</v>
      </c>
    </row>
    <row r="24" spans="1:11" ht="15">
      <c r="A24" s="166">
        <v>44236</v>
      </c>
      <c r="B24" s="28" t="s">
        <v>1242</v>
      </c>
      <c r="C24" s="168" t="s">
        <v>935</v>
      </c>
      <c r="D24" s="168" t="s">
        <v>1234</v>
      </c>
      <c r="E24" s="143" t="s">
        <v>1217</v>
      </c>
      <c r="F24" s="29"/>
      <c r="G24" s="152" t="s">
        <v>1225</v>
      </c>
      <c r="H24" s="15"/>
      <c r="I24" s="26">
        <v>105386667</v>
      </c>
      <c r="J24" s="268">
        <v>93713067</v>
      </c>
      <c r="K24" s="26">
        <f t="shared" si="0"/>
        <v>11673600</v>
      </c>
    </row>
    <row r="25" spans="1:11" ht="15">
      <c r="A25" s="166">
        <v>44236</v>
      </c>
      <c r="B25" s="28" t="s">
        <v>1243</v>
      </c>
      <c r="C25" s="168" t="s">
        <v>1006</v>
      </c>
      <c r="D25" s="168" t="s">
        <v>1211</v>
      </c>
      <c r="E25" s="143" t="s">
        <v>1218</v>
      </c>
      <c r="F25" s="29"/>
      <c r="G25" s="152" t="s">
        <v>1226</v>
      </c>
      <c r="H25" s="15"/>
      <c r="I25" s="26">
        <v>25200000</v>
      </c>
      <c r="J25" s="268">
        <v>9520000</v>
      </c>
      <c r="K25" s="26">
        <f t="shared" si="0"/>
        <v>15680000</v>
      </c>
    </row>
    <row r="26" spans="1:11" ht="15">
      <c r="A26" s="166">
        <v>44237</v>
      </c>
      <c r="B26" s="28" t="s">
        <v>1244</v>
      </c>
      <c r="C26" s="168" t="s">
        <v>893</v>
      </c>
      <c r="D26" s="168" t="s">
        <v>1209</v>
      </c>
      <c r="E26" s="143" t="s">
        <v>830</v>
      </c>
      <c r="F26" s="29"/>
      <c r="G26" s="152" t="s">
        <v>1227</v>
      </c>
      <c r="H26" s="15"/>
      <c r="I26" s="26">
        <v>22800000</v>
      </c>
      <c r="J26" s="268">
        <v>22800000</v>
      </c>
      <c r="K26" s="26">
        <f t="shared" si="0"/>
        <v>0</v>
      </c>
    </row>
    <row r="27" spans="1:11" ht="15">
      <c r="A27" s="166">
        <v>44244</v>
      </c>
      <c r="B27" s="28" t="s">
        <v>1245</v>
      </c>
      <c r="C27" s="168" t="s">
        <v>1235</v>
      </c>
      <c r="D27" s="168" t="s">
        <v>1236</v>
      </c>
      <c r="E27" s="143" t="s">
        <v>1219</v>
      </c>
      <c r="F27" s="29"/>
      <c r="G27" s="152" t="s">
        <v>1228</v>
      </c>
      <c r="H27" s="15"/>
      <c r="I27" s="26">
        <v>30720000</v>
      </c>
      <c r="J27" s="268">
        <v>30720000</v>
      </c>
      <c r="K27" s="26">
        <f t="shared" si="0"/>
        <v>0</v>
      </c>
    </row>
    <row r="28" spans="1:11" ht="15">
      <c r="A28" s="166">
        <v>44245</v>
      </c>
      <c r="B28" s="28" t="s">
        <v>905</v>
      </c>
      <c r="C28" s="168" t="s">
        <v>1237</v>
      </c>
      <c r="D28" s="168" t="s">
        <v>1103</v>
      </c>
      <c r="E28" s="143" t="s">
        <v>1220</v>
      </c>
      <c r="F28" s="29"/>
      <c r="G28" s="152" t="s">
        <v>1229</v>
      </c>
      <c r="H28" s="15"/>
      <c r="I28" s="26">
        <v>14748000</v>
      </c>
      <c r="J28" s="268">
        <v>5981133</v>
      </c>
      <c r="K28" s="26">
        <f t="shared" si="0"/>
        <v>8766867</v>
      </c>
    </row>
    <row r="29" spans="1:11" ht="15">
      <c r="A29" s="166">
        <v>44247</v>
      </c>
      <c r="B29" s="28" t="s">
        <v>930</v>
      </c>
      <c r="C29" s="168" t="s">
        <v>1238</v>
      </c>
      <c r="D29" s="168" t="s">
        <v>1101</v>
      </c>
      <c r="E29" s="143" t="s">
        <v>1221</v>
      </c>
      <c r="F29" s="29"/>
      <c r="G29" s="152" t="s">
        <v>1230</v>
      </c>
      <c r="H29" s="15"/>
      <c r="I29" s="26">
        <v>10752000</v>
      </c>
      <c r="J29" s="268">
        <v>10752000</v>
      </c>
      <c r="K29" s="26">
        <f t="shared" si="0"/>
        <v>0</v>
      </c>
    </row>
    <row r="30" spans="1:11" ht="15">
      <c r="A30" s="166">
        <v>44259</v>
      </c>
      <c r="B30" s="28" t="s">
        <v>1679</v>
      </c>
      <c r="C30" s="168" t="s">
        <v>1584</v>
      </c>
      <c r="D30" s="168" t="s">
        <v>1670</v>
      </c>
      <c r="E30" s="143" t="s">
        <v>1662</v>
      </c>
      <c r="F30" s="29"/>
      <c r="G30" s="152" t="s">
        <v>1653</v>
      </c>
      <c r="H30" s="15"/>
      <c r="I30" s="26">
        <v>36000000</v>
      </c>
      <c r="J30" s="26">
        <v>36000000</v>
      </c>
      <c r="K30" s="26">
        <f t="shared" si="0"/>
        <v>0</v>
      </c>
    </row>
    <row r="31" spans="1:11" ht="15">
      <c r="A31" s="166">
        <v>44260</v>
      </c>
      <c r="B31" s="28" t="s">
        <v>1457</v>
      </c>
      <c r="C31" s="168" t="s">
        <v>1588</v>
      </c>
      <c r="D31" s="168" t="s">
        <v>1394</v>
      </c>
      <c r="E31" s="143" t="s">
        <v>1663</v>
      </c>
      <c r="F31" s="29"/>
      <c r="G31" s="152" t="s">
        <v>1654</v>
      </c>
      <c r="H31" s="15"/>
      <c r="I31" s="26">
        <v>39896000</v>
      </c>
      <c r="J31" s="26">
        <v>39896000</v>
      </c>
      <c r="K31" s="26">
        <f t="shared" si="0"/>
        <v>0</v>
      </c>
    </row>
    <row r="32" spans="1:11" ht="15">
      <c r="A32" s="166">
        <v>44267</v>
      </c>
      <c r="B32" s="28" t="s">
        <v>948</v>
      </c>
      <c r="C32" s="168" t="s">
        <v>1671</v>
      </c>
      <c r="D32" s="168" t="s">
        <v>1672</v>
      </c>
      <c r="E32" s="143" t="s">
        <v>1664</v>
      </c>
      <c r="F32" s="29"/>
      <c r="G32" s="152" t="s">
        <v>1655</v>
      </c>
      <c r="H32" s="15"/>
      <c r="I32" s="26">
        <v>25556830</v>
      </c>
      <c r="J32" s="26">
        <v>21502988</v>
      </c>
      <c r="K32" s="26">
        <f t="shared" si="0"/>
        <v>4053842</v>
      </c>
    </row>
    <row r="33" spans="1:11" ht="15">
      <c r="A33" s="166">
        <v>44272</v>
      </c>
      <c r="B33" s="28" t="s">
        <v>1236</v>
      </c>
      <c r="C33" s="168" t="s">
        <v>1589</v>
      </c>
      <c r="D33" s="168" t="s">
        <v>1673</v>
      </c>
      <c r="E33" s="143" t="s">
        <v>1665</v>
      </c>
      <c r="F33" s="29"/>
      <c r="G33" s="152" t="s">
        <v>1656</v>
      </c>
      <c r="H33" s="15"/>
      <c r="I33" s="26">
        <v>80000000</v>
      </c>
      <c r="J33" s="26">
        <v>75733333</v>
      </c>
      <c r="K33" s="26">
        <f t="shared" si="0"/>
        <v>4266667</v>
      </c>
    </row>
    <row r="34" spans="1:11" ht="15">
      <c r="A34" s="166">
        <v>44273</v>
      </c>
      <c r="B34" s="28" t="s">
        <v>1101</v>
      </c>
      <c r="C34" s="168" t="s">
        <v>1605</v>
      </c>
      <c r="D34" s="168" t="s">
        <v>1674</v>
      </c>
      <c r="E34" s="143" t="s">
        <v>1666</v>
      </c>
      <c r="F34" s="29"/>
      <c r="G34" s="152" t="s">
        <v>1657</v>
      </c>
      <c r="H34" s="15"/>
      <c r="I34" s="26">
        <v>44972037</v>
      </c>
      <c r="J34" s="26">
        <v>44972037</v>
      </c>
      <c r="K34" s="26">
        <f t="shared" si="0"/>
        <v>0</v>
      </c>
    </row>
    <row r="35" spans="1:11" ht="15">
      <c r="A35" s="166">
        <v>44278</v>
      </c>
      <c r="B35" s="28" t="s">
        <v>959</v>
      </c>
      <c r="C35" s="168" t="s">
        <v>1675</v>
      </c>
      <c r="D35" s="168" t="s">
        <v>1543</v>
      </c>
      <c r="E35" s="143" t="s">
        <v>1667</v>
      </c>
      <c r="F35" s="29"/>
      <c r="G35" s="152" t="s">
        <v>1659</v>
      </c>
      <c r="H35" s="15"/>
      <c r="I35" s="26">
        <v>48000000</v>
      </c>
      <c r="J35" s="26">
        <v>48000000</v>
      </c>
      <c r="K35" s="26">
        <f t="shared" si="0"/>
        <v>0</v>
      </c>
    </row>
    <row r="36" spans="1:11" ht="15">
      <c r="A36" s="166">
        <v>44284</v>
      </c>
      <c r="B36" s="28" t="s">
        <v>946</v>
      </c>
      <c r="C36" s="168" t="s">
        <v>1676</v>
      </c>
      <c r="D36" s="168" t="s">
        <v>1590</v>
      </c>
      <c r="E36" s="143" t="s">
        <v>1668</v>
      </c>
      <c r="F36" s="29"/>
      <c r="G36" s="152" t="s">
        <v>1660</v>
      </c>
      <c r="H36" s="15"/>
      <c r="I36" s="26">
        <v>15600000</v>
      </c>
      <c r="J36" s="26">
        <v>15600000</v>
      </c>
      <c r="K36" s="26">
        <f t="shared" si="0"/>
        <v>0</v>
      </c>
    </row>
    <row r="37" spans="1:11" ht="15">
      <c r="A37" s="166">
        <v>44285</v>
      </c>
      <c r="B37" s="28" t="s">
        <v>1670</v>
      </c>
      <c r="C37" s="168" t="s">
        <v>1677</v>
      </c>
      <c r="D37" s="168" t="s">
        <v>1678</v>
      </c>
      <c r="E37" s="143" t="s">
        <v>1669</v>
      </c>
      <c r="F37" s="29"/>
      <c r="G37" s="152" t="s">
        <v>1661</v>
      </c>
      <c r="H37" s="15"/>
      <c r="I37" s="26">
        <f>54000000-35700000</f>
        <v>18300000</v>
      </c>
      <c r="J37" s="26">
        <v>18300000</v>
      </c>
      <c r="K37" s="26">
        <f t="shared" si="0"/>
        <v>0</v>
      </c>
    </row>
    <row r="38" spans="1:11" ht="15">
      <c r="A38" s="166">
        <v>44291</v>
      </c>
      <c r="B38" s="28" t="s">
        <v>960</v>
      </c>
      <c r="C38" s="168" t="s">
        <v>1717</v>
      </c>
      <c r="D38" s="168" t="s">
        <v>1876</v>
      </c>
      <c r="E38" s="143" t="s">
        <v>1882</v>
      </c>
      <c r="F38" s="29"/>
      <c r="G38" s="152" t="s">
        <v>1887</v>
      </c>
      <c r="H38" s="15"/>
      <c r="I38" s="26">
        <v>55800000</v>
      </c>
      <c r="J38" s="26">
        <v>54973333</v>
      </c>
      <c r="K38" s="26">
        <f t="shared" si="0"/>
        <v>826667</v>
      </c>
    </row>
    <row r="39" spans="1:11" ht="15">
      <c r="A39" s="166">
        <v>44294</v>
      </c>
      <c r="B39" s="28" t="s">
        <v>957</v>
      </c>
      <c r="C39" s="168" t="s">
        <v>1877</v>
      </c>
      <c r="D39" s="168" t="s">
        <v>1878</v>
      </c>
      <c r="E39" s="143" t="s">
        <v>1883</v>
      </c>
      <c r="F39" s="29"/>
      <c r="G39" s="152" t="s">
        <v>1888</v>
      </c>
      <c r="H39" s="15"/>
      <c r="I39" s="26">
        <v>72000000</v>
      </c>
      <c r="J39" s="26">
        <v>69866667</v>
      </c>
      <c r="K39" s="26">
        <f t="shared" si="0"/>
        <v>2133333</v>
      </c>
    </row>
    <row r="40" spans="1:11" ht="15">
      <c r="A40" s="166">
        <v>44306</v>
      </c>
      <c r="B40" s="28" t="s">
        <v>967</v>
      </c>
      <c r="C40" s="168" t="s">
        <v>1799</v>
      </c>
      <c r="D40" s="168" t="s">
        <v>1879</v>
      </c>
      <c r="E40" s="143" t="s">
        <v>1884</v>
      </c>
      <c r="F40" s="29"/>
      <c r="G40" s="152" t="s">
        <v>1889</v>
      </c>
      <c r="H40" s="15"/>
      <c r="I40" s="26">
        <v>75000000</v>
      </c>
      <c r="J40" s="26">
        <v>75000000</v>
      </c>
      <c r="K40" s="26">
        <f t="shared" si="0"/>
        <v>0</v>
      </c>
    </row>
    <row r="41" spans="1:11" ht="15">
      <c r="A41" s="166">
        <v>44309</v>
      </c>
      <c r="B41" s="28" t="s">
        <v>1581</v>
      </c>
      <c r="C41" s="168" t="s">
        <v>1730</v>
      </c>
      <c r="D41" s="168" t="s">
        <v>1731</v>
      </c>
      <c r="E41" s="143" t="s">
        <v>1773</v>
      </c>
      <c r="F41" s="29"/>
      <c r="G41" s="152" t="s">
        <v>1758</v>
      </c>
      <c r="H41" s="15"/>
      <c r="I41" s="26">
        <v>83600000</v>
      </c>
      <c r="J41" s="26">
        <v>43344438</v>
      </c>
      <c r="K41" s="26">
        <f t="shared" si="0"/>
        <v>40255562</v>
      </c>
    </row>
    <row r="42" spans="1:11" ht="15">
      <c r="A42" s="166">
        <v>44309</v>
      </c>
      <c r="B42" s="28" t="s">
        <v>1584</v>
      </c>
      <c r="C42" s="168" t="s">
        <v>1735</v>
      </c>
      <c r="D42" s="168" t="s">
        <v>1795</v>
      </c>
      <c r="E42" s="143" t="s">
        <v>1885</v>
      </c>
      <c r="F42" s="29"/>
      <c r="G42" s="152" t="s">
        <v>1890</v>
      </c>
      <c r="H42" s="15"/>
      <c r="I42" s="26">
        <v>48000000</v>
      </c>
      <c r="J42" s="26">
        <v>48000000</v>
      </c>
      <c r="K42" s="26">
        <f t="shared" si="0"/>
        <v>0</v>
      </c>
    </row>
    <row r="43" spans="1:11" ht="15">
      <c r="A43" s="166">
        <v>44316</v>
      </c>
      <c r="B43" s="28" t="s">
        <v>1674</v>
      </c>
      <c r="C43" s="168" t="s">
        <v>1880</v>
      </c>
      <c r="D43" s="168" t="s">
        <v>1881</v>
      </c>
      <c r="E43" s="143" t="s">
        <v>1886</v>
      </c>
      <c r="F43" s="29"/>
      <c r="G43" s="152" t="s">
        <v>1891</v>
      </c>
      <c r="H43" s="15"/>
      <c r="I43" s="26">
        <v>40000000</v>
      </c>
      <c r="J43" s="26">
        <v>39666666</v>
      </c>
      <c r="K43" s="26">
        <f t="shared" si="0"/>
        <v>333334</v>
      </c>
    </row>
    <row r="44" spans="1:11" ht="15">
      <c r="A44" s="166">
        <v>44322</v>
      </c>
      <c r="B44" s="28" t="s">
        <v>1595</v>
      </c>
      <c r="C44" s="168" t="s">
        <v>2012</v>
      </c>
      <c r="D44" s="168" t="s">
        <v>2007</v>
      </c>
      <c r="E44" s="143" t="s">
        <v>2156</v>
      </c>
      <c r="F44" s="29"/>
      <c r="G44" s="152" t="s">
        <v>2151</v>
      </c>
      <c r="H44" s="15"/>
      <c r="I44" s="26">
        <v>48000000</v>
      </c>
      <c r="J44" s="26">
        <v>44200000</v>
      </c>
      <c r="K44" s="26">
        <f t="shared" si="0"/>
        <v>3800000</v>
      </c>
    </row>
    <row r="45" spans="1:11" ht="15">
      <c r="A45" s="166">
        <v>44327</v>
      </c>
      <c r="B45" s="28" t="s">
        <v>1554</v>
      </c>
      <c r="C45" s="168" t="s">
        <v>1397</v>
      </c>
      <c r="D45" s="168" t="s">
        <v>1931</v>
      </c>
      <c r="E45" s="143" t="s">
        <v>1966</v>
      </c>
      <c r="F45" s="29"/>
      <c r="G45" s="152" t="s">
        <v>1979</v>
      </c>
      <c r="H45" s="15"/>
      <c r="I45" s="26">
        <v>208000000</v>
      </c>
      <c r="J45" s="26">
        <v>182034141</v>
      </c>
      <c r="K45" s="26">
        <f t="shared" si="0"/>
        <v>25965859</v>
      </c>
    </row>
    <row r="46" spans="1:11" ht="15">
      <c r="A46" s="166">
        <v>44329</v>
      </c>
      <c r="B46" s="28" t="s">
        <v>2160</v>
      </c>
      <c r="C46" s="168" t="s">
        <v>2104</v>
      </c>
      <c r="D46" s="168" t="s">
        <v>2022</v>
      </c>
      <c r="E46" s="143" t="s">
        <v>2157</v>
      </c>
      <c r="F46" s="29"/>
      <c r="G46" s="152" t="s">
        <v>349</v>
      </c>
      <c r="H46" s="15"/>
      <c r="I46" s="26">
        <v>15360000</v>
      </c>
      <c r="J46" s="26">
        <v>15104000</v>
      </c>
      <c r="K46" s="26">
        <f t="shared" si="0"/>
        <v>256000</v>
      </c>
    </row>
    <row r="47" spans="1:11" ht="15">
      <c r="A47" s="166">
        <v>44330</v>
      </c>
      <c r="B47" s="28" t="s">
        <v>1878</v>
      </c>
      <c r="C47" s="168" t="s">
        <v>2100</v>
      </c>
      <c r="D47" s="168" t="s">
        <v>2154</v>
      </c>
      <c r="E47" s="143" t="s">
        <v>2158</v>
      </c>
      <c r="F47" s="29"/>
      <c r="G47" s="152" t="s">
        <v>2152</v>
      </c>
      <c r="H47" s="15"/>
      <c r="I47" s="26">
        <v>64000000</v>
      </c>
      <c r="J47" s="26">
        <v>60533333</v>
      </c>
      <c r="K47" s="26">
        <f t="shared" si="0"/>
        <v>3466667</v>
      </c>
    </row>
    <row r="48" spans="1:11" ht="15">
      <c r="A48" s="166">
        <v>44341</v>
      </c>
      <c r="B48" s="28" t="s">
        <v>1894</v>
      </c>
      <c r="C48" s="168" t="s">
        <v>2155</v>
      </c>
      <c r="D48" s="168" t="s">
        <v>2123</v>
      </c>
      <c r="E48" s="143" t="s">
        <v>2159</v>
      </c>
      <c r="F48" s="29"/>
      <c r="G48" s="152" t="s">
        <v>2153</v>
      </c>
      <c r="H48" s="15"/>
      <c r="I48" s="26">
        <v>30527000</v>
      </c>
      <c r="J48" s="26">
        <v>30527000</v>
      </c>
      <c r="K48" s="26">
        <f t="shared" si="0"/>
        <v>0</v>
      </c>
    </row>
    <row r="49" spans="1:11" ht="15">
      <c r="A49" s="166">
        <v>44347</v>
      </c>
      <c r="B49" s="28" t="s">
        <v>1895</v>
      </c>
      <c r="C49" s="168" t="s">
        <v>1851</v>
      </c>
      <c r="D49" s="168" t="s">
        <v>1945</v>
      </c>
      <c r="E49" s="143" t="s">
        <v>1975</v>
      </c>
      <c r="F49" s="29"/>
      <c r="G49" s="152" t="s">
        <v>1984</v>
      </c>
      <c r="H49" s="15"/>
      <c r="I49" s="26">
        <v>450000000</v>
      </c>
      <c r="J49" s="26">
        <v>211011658</v>
      </c>
      <c r="K49" s="26">
        <f t="shared" si="0"/>
        <v>238988342</v>
      </c>
    </row>
    <row r="50" spans="1:11" ht="15">
      <c r="A50" s="166">
        <v>44370</v>
      </c>
      <c r="B50" s="28" t="s">
        <v>1857</v>
      </c>
      <c r="C50" s="168" t="s">
        <v>2291</v>
      </c>
      <c r="D50" s="168" t="s">
        <v>2292</v>
      </c>
      <c r="E50" s="143" t="s">
        <v>2313</v>
      </c>
      <c r="F50" s="29"/>
      <c r="G50" s="152" t="s">
        <v>1632</v>
      </c>
      <c r="H50" s="15"/>
      <c r="I50" s="26">
        <v>741501122</v>
      </c>
      <c r="J50" s="26">
        <v>511069233</v>
      </c>
      <c r="K50" s="26">
        <f t="shared" si="0"/>
        <v>230431889</v>
      </c>
    </row>
    <row r="51" spans="1:11" ht="15">
      <c r="A51" s="166">
        <v>44372</v>
      </c>
      <c r="B51" s="28" t="s">
        <v>1988</v>
      </c>
      <c r="C51" s="168" t="s">
        <v>2363</v>
      </c>
      <c r="D51" s="168" t="s">
        <v>2364</v>
      </c>
      <c r="E51" s="143" t="s">
        <v>2365</v>
      </c>
      <c r="F51" s="29"/>
      <c r="G51" s="152" t="s">
        <v>2366</v>
      </c>
      <c r="H51" s="15"/>
      <c r="I51" s="26">
        <v>44231590</v>
      </c>
      <c r="J51" s="26">
        <v>37426730</v>
      </c>
      <c r="K51" s="26">
        <f t="shared" si="0"/>
        <v>6804860</v>
      </c>
    </row>
    <row r="52" spans="1:11" ht="15">
      <c r="A52" s="166">
        <v>44385</v>
      </c>
      <c r="B52" s="28" t="s">
        <v>2749</v>
      </c>
      <c r="C52" s="168" t="s">
        <v>2485</v>
      </c>
      <c r="D52" s="168" t="s">
        <v>2730</v>
      </c>
      <c r="E52" s="143" t="s">
        <v>2738</v>
      </c>
      <c r="F52" s="29"/>
      <c r="G52" s="152" t="s">
        <v>391</v>
      </c>
      <c r="H52" s="15"/>
      <c r="I52" s="26">
        <v>37700000</v>
      </c>
      <c r="J52" s="26">
        <v>37483333</v>
      </c>
      <c r="K52" s="26">
        <f t="shared" si="0"/>
        <v>216667</v>
      </c>
    </row>
    <row r="53" spans="1:11" ht="15">
      <c r="A53" s="166">
        <v>44386</v>
      </c>
      <c r="B53" s="28" t="s">
        <v>2166</v>
      </c>
      <c r="C53" s="168" t="s">
        <v>2731</v>
      </c>
      <c r="D53" s="168" t="s">
        <v>2517</v>
      </c>
      <c r="E53" s="143" t="s">
        <v>2739</v>
      </c>
      <c r="F53" s="29"/>
      <c r="G53" s="152" t="s">
        <v>2746</v>
      </c>
      <c r="H53" s="15"/>
      <c r="I53" s="26">
        <v>40816233</v>
      </c>
      <c r="J53" s="26">
        <v>17528455</v>
      </c>
      <c r="K53" s="26">
        <f t="shared" si="0"/>
        <v>23287778</v>
      </c>
    </row>
    <row r="54" spans="1:11" ht="15">
      <c r="A54" s="166">
        <v>44390</v>
      </c>
      <c r="B54" s="28" t="s">
        <v>2020</v>
      </c>
      <c r="C54" s="168" t="s">
        <v>2401</v>
      </c>
      <c r="D54" s="168" t="s">
        <v>2519</v>
      </c>
      <c r="E54" s="143" t="s">
        <v>2740</v>
      </c>
      <c r="F54" s="29"/>
      <c r="G54" s="152" t="s">
        <v>387</v>
      </c>
      <c r="H54" s="15"/>
      <c r="I54" s="26">
        <v>14838200</v>
      </c>
      <c r="J54" s="26">
        <v>14662600</v>
      </c>
      <c r="K54" s="26">
        <f t="shared" si="0"/>
        <v>175600</v>
      </c>
    </row>
    <row r="55" spans="1:11" ht="15">
      <c r="A55" s="166">
        <v>44390</v>
      </c>
      <c r="B55" s="28" t="s">
        <v>1933</v>
      </c>
      <c r="C55" s="168" t="s">
        <v>2232</v>
      </c>
      <c r="D55" s="168" t="s">
        <v>2732</v>
      </c>
      <c r="E55" s="143" t="s">
        <v>2741</v>
      </c>
      <c r="F55" s="29"/>
      <c r="G55" s="152" t="s">
        <v>132</v>
      </c>
      <c r="H55" s="15"/>
      <c r="I55" s="26">
        <v>15013800</v>
      </c>
      <c r="J55" s="26">
        <v>14750400</v>
      </c>
      <c r="K55" s="26">
        <f t="shared" si="0"/>
        <v>263400</v>
      </c>
    </row>
    <row r="56" spans="1:11" ht="15">
      <c r="A56" s="166">
        <v>44391</v>
      </c>
      <c r="B56" s="28" t="s">
        <v>1932</v>
      </c>
      <c r="C56" s="168" t="s">
        <v>2398</v>
      </c>
      <c r="D56" s="168" t="s">
        <v>2733</v>
      </c>
      <c r="E56" s="143" t="s">
        <v>2742</v>
      </c>
      <c r="F56" s="29"/>
      <c r="G56" s="152" t="s">
        <v>128</v>
      </c>
      <c r="H56" s="15"/>
      <c r="I56" s="26">
        <v>24215000</v>
      </c>
      <c r="J56" s="26">
        <v>24215000</v>
      </c>
      <c r="K56" s="26">
        <f t="shared" si="0"/>
        <v>0</v>
      </c>
    </row>
    <row r="57" spans="1:11" ht="15">
      <c r="A57" s="166">
        <v>44396</v>
      </c>
      <c r="B57" s="28" t="s">
        <v>2173</v>
      </c>
      <c r="C57" s="168" t="s">
        <v>2612</v>
      </c>
      <c r="D57" s="168" t="s">
        <v>2734</v>
      </c>
      <c r="E57" s="143" t="s">
        <v>2743</v>
      </c>
      <c r="F57" s="29"/>
      <c r="G57" s="152" t="s">
        <v>2747</v>
      </c>
      <c r="H57" s="15"/>
      <c r="I57" s="26">
        <v>27666666</v>
      </c>
      <c r="J57" s="26">
        <v>27000000</v>
      </c>
      <c r="K57" s="26">
        <f t="shared" si="0"/>
        <v>666666</v>
      </c>
    </row>
    <row r="58" spans="1:11" ht="15">
      <c r="A58" s="166">
        <v>44398</v>
      </c>
      <c r="B58" s="28" t="s">
        <v>2116</v>
      </c>
      <c r="C58" s="168" t="s">
        <v>2298</v>
      </c>
      <c r="D58" s="168" t="s">
        <v>2536</v>
      </c>
      <c r="E58" s="143" t="s">
        <v>2741</v>
      </c>
      <c r="F58" s="29"/>
      <c r="G58" s="152" t="s">
        <v>211</v>
      </c>
      <c r="H58" s="15"/>
      <c r="I58" s="26">
        <v>14311400</v>
      </c>
      <c r="J58" s="26">
        <v>14048000</v>
      </c>
      <c r="K58" s="26">
        <f t="shared" si="0"/>
        <v>263400</v>
      </c>
    </row>
    <row r="59" spans="1:11" ht="15">
      <c r="A59" s="166">
        <v>44398</v>
      </c>
      <c r="B59" s="28" t="s">
        <v>2110</v>
      </c>
      <c r="C59" s="168" t="s">
        <v>2230</v>
      </c>
      <c r="D59" s="168" t="s">
        <v>2637</v>
      </c>
      <c r="E59" s="143" t="s">
        <v>2741</v>
      </c>
      <c r="F59" s="29"/>
      <c r="G59" s="152" t="s">
        <v>49</v>
      </c>
      <c r="H59" s="15"/>
      <c r="I59" s="26">
        <v>14223600</v>
      </c>
      <c r="J59" s="26">
        <v>14048000</v>
      </c>
      <c r="K59" s="26">
        <f t="shared" si="0"/>
        <v>175600</v>
      </c>
    </row>
    <row r="60" spans="1:11" ht="15">
      <c r="A60" s="166">
        <v>44405</v>
      </c>
      <c r="B60" s="28" t="s">
        <v>2750</v>
      </c>
      <c r="C60" s="168" t="s">
        <v>2735</v>
      </c>
      <c r="D60" s="168" t="s">
        <v>2534</v>
      </c>
      <c r="E60" s="143" t="s">
        <v>2744</v>
      </c>
      <c r="F60" s="29"/>
      <c r="G60" s="152" t="s">
        <v>2748</v>
      </c>
      <c r="H60" s="15"/>
      <c r="I60" s="26">
        <v>33000000</v>
      </c>
      <c r="J60" s="26">
        <v>30200000</v>
      </c>
      <c r="K60" s="26">
        <f t="shared" si="0"/>
        <v>2800000</v>
      </c>
    </row>
    <row r="61" spans="1:11" ht="15">
      <c r="A61" s="166">
        <v>44406</v>
      </c>
      <c r="B61" s="28" t="s">
        <v>2278</v>
      </c>
      <c r="C61" s="168" t="s">
        <v>2736</v>
      </c>
      <c r="D61" s="168" t="s">
        <v>2737</v>
      </c>
      <c r="E61" s="143" t="s">
        <v>2745</v>
      </c>
      <c r="F61" s="29"/>
      <c r="G61" s="152" t="s">
        <v>637</v>
      </c>
      <c r="H61" s="15"/>
      <c r="I61" s="26">
        <v>32933333</v>
      </c>
      <c r="J61" s="26">
        <v>32716666</v>
      </c>
      <c r="K61" s="26">
        <f t="shared" si="0"/>
        <v>216667</v>
      </c>
    </row>
    <row r="62" spans="1:11" ht="15">
      <c r="A62" s="166">
        <v>44410</v>
      </c>
      <c r="B62" s="28" t="s">
        <v>2284</v>
      </c>
      <c r="C62" s="168" t="s">
        <v>2737</v>
      </c>
      <c r="D62" s="168" t="s">
        <v>2866</v>
      </c>
      <c r="E62" s="143" t="s">
        <v>3236</v>
      </c>
      <c r="F62" s="29"/>
      <c r="G62" s="152" t="s">
        <v>627</v>
      </c>
      <c r="H62" s="15"/>
      <c r="I62" s="26">
        <v>37500000</v>
      </c>
      <c r="J62" s="26">
        <v>37250000</v>
      </c>
      <c r="K62" s="26">
        <f t="shared" si="0"/>
        <v>250000</v>
      </c>
    </row>
    <row r="63" spans="1:11" ht="15">
      <c r="A63" s="166">
        <v>44410</v>
      </c>
      <c r="B63" s="28" t="s">
        <v>2371</v>
      </c>
      <c r="C63" s="168" t="s">
        <v>2783</v>
      </c>
      <c r="D63" s="168" t="s">
        <v>2915</v>
      </c>
      <c r="E63" s="143" t="s">
        <v>3237</v>
      </c>
      <c r="F63" s="29"/>
      <c r="G63" s="152" t="s">
        <v>46</v>
      </c>
      <c r="H63" s="15"/>
      <c r="I63" s="26">
        <v>21804620</v>
      </c>
      <c r="J63" s="26">
        <v>21513891</v>
      </c>
      <c r="K63" s="26">
        <f t="shared" si="0"/>
        <v>290729</v>
      </c>
    </row>
    <row r="64" spans="1:11" ht="15">
      <c r="A64" s="166">
        <v>44412</v>
      </c>
      <c r="B64" s="28" t="s">
        <v>1241</v>
      </c>
      <c r="C64" s="168" t="s">
        <v>3225</v>
      </c>
      <c r="D64" s="168" t="s">
        <v>3226</v>
      </c>
      <c r="E64" s="143" t="s">
        <v>3238</v>
      </c>
      <c r="F64" s="29"/>
      <c r="G64" s="152" t="s">
        <v>1224</v>
      </c>
      <c r="H64" s="15"/>
      <c r="I64" s="26">
        <v>30000000</v>
      </c>
      <c r="J64" s="26">
        <v>30000000</v>
      </c>
      <c r="K64" s="26">
        <f t="shared" si="0"/>
        <v>0</v>
      </c>
    </row>
    <row r="65" spans="1:11" ht="15">
      <c r="A65" s="166">
        <v>44417</v>
      </c>
      <c r="B65" s="28" t="s">
        <v>2774</v>
      </c>
      <c r="C65" s="168" t="s">
        <v>3227</v>
      </c>
      <c r="D65" s="168" t="s">
        <v>3228</v>
      </c>
      <c r="E65" s="143" t="s">
        <v>3239</v>
      </c>
      <c r="F65" s="29"/>
      <c r="G65" s="152" t="s">
        <v>189</v>
      </c>
      <c r="H65" s="15"/>
      <c r="I65" s="26">
        <v>22073333</v>
      </c>
      <c r="J65" s="26">
        <v>20353333</v>
      </c>
      <c r="K65" s="26">
        <f t="shared" si="0"/>
        <v>1720000</v>
      </c>
    </row>
    <row r="66" spans="1:11" ht="15">
      <c r="A66" s="166">
        <v>44417</v>
      </c>
      <c r="B66" s="28" t="s">
        <v>2375</v>
      </c>
      <c r="C66" s="168" t="s">
        <v>2624</v>
      </c>
      <c r="D66" s="168" t="s">
        <v>2932</v>
      </c>
      <c r="E66" s="143" t="s">
        <v>3240</v>
      </c>
      <c r="F66" s="29"/>
      <c r="G66" s="152" t="s">
        <v>102</v>
      </c>
      <c r="H66" s="15"/>
      <c r="I66" s="26">
        <v>13170000</v>
      </c>
      <c r="J66" s="26">
        <v>12467600</v>
      </c>
      <c r="K66" s="26">
        <f t="shared" si="0"/>
        <v>702400</v>
      </c>
    </row>
    <row r="67" spans="1:11" ht="15">
      <c r="A67" s="166">
        <v>44428</v>
      </c>
      <c r="B67" s="28" t="s">
        <v>2509</v>
      </c>
      <c r="C67" s="168" t="s">
        <v>3229</v>
      </c>
      <c r="D67" s="168" t="s">
        <v>3230</v>
      </c>
      <c r="E67" s="143" t="s">
        <v>3241</v>
      </c>
      <c r="F67" s="29"/>
      <c r="G67" s="152" t="s">
        <v>1223</v>
      </c>
      <c r="H67" s="15"/>
      <c r="I67" s="26">
        <v>27033600</v>
      </c>
      <c r="J67" s="26">
        <v>26828800</v>
      </c>
      <c r="K67" s="26">
        <f t="shared" si="0"/>
        <v>204800</v>
      </c>
    </row>
    <row r="68" spans="1:11" ht="15">
      <c r="A68" s="166">
        <v>44428</v>
      </c>
      <c r="B68" s="28" t="s">
        <v>2487</v>
      </c>
      <c r="C68" s="168" t="s">
        <v>2858</v>
      </c>
      <c r="D68" s="168" t="s">
        <v>3231</v>
      </c>
      <c r="E68" s="143" t="s">
        <v>3242</v>
      </c>
      <c r="F68" s="29"/>
      <c r="G68" s="152" t="s">
        <v>1227</v>
      </c>
      <c r="H68" s="15"/>
      <c r="I68" s="26">
        <v>17480000</v>
      </c>
      <c r="J68" s="26">
        <v>12666667</v>
      </c>
      <c r="K68" s="26">
        <f t="shared" si="0"/>
        <v>4813333</v>
      </c>
    </row>
    <row r="69" spans="1:11" ht="15">
      <c r="A69" s="166">
        <v>44431</v>
      </c>
      <c r="B69" s="28" t="s">
        <v>2532</v>
      </c>
      <c r="C69" s="168" t="s">
        <v>3232</v>
      </c>
      <c r="D69" s="168" t="s">
        <v>3233</v>
      </c>
      <c r="E69" s="143" t="s">
        <v>3243</v>
      </c>
      <c r="F69" s="29"/>
      <c r="G69" s="152" t="s">
        <v>1230</v>
      </c>
      <c r="H69" s="15"/>
      <c r="I69" s="26">
        <v>7884800</v>
      </c>
      <c r="J69" s="26">
        <v>7586133</v>
      </c>
      <c r="K69" s="26">
        <f t="shared" si="0"/>
        <v>298667</v>
      </c>
    </row>
    <row r="70" spans="1:11" ht="15">
      <c r="A70" s="166">
        <v>44433</v>
      </c>
      <c r="B70" s="28" t="s">
        <v>3107</v>
      </c>
      <c r="C70" s="168" t="s">
        <v>2542</v>
      </c>
      <c r="D70" s="168" t="s">
        <v>3078</v>
      </c>
      <c r="E70" s="143" t="s">
        <v>3135</v>
      </c>
      <c r="F70" s="29"/>
      <c r="G70" s="152" t="s">
        <v>3101</v>
      </c>
      <c r="H70" s="15"/>
      <c r="I70" s="26">
        <v>5180060</v>
      </c>
      <c r="J70" s="26">
        <v>5180060</v>
      </c>
      <c r="K70" s="26">
        <f t="shared" si="0"/>
        <v>0</v>
      </c>
    </row>
    <row r="71" spans="1:11" ht="15">
      <c r="A71" s="166">
        <v>44434</v>
      </c>
      <c r="B71" s="28" t="s">
        <v>2765</v>
      </c>
      <c r="C71" s="168" t="s">
        <v>3228</v>
      </c>
      <c r="D71" s="168" t="s">
        <v>3234</v>
      </c>
      <c r="E71" s="143" t="s">
        <v>3244</v>
      </c>
      <c r="F71" s="29"/>
      <c r="G71" s="152" t="s">
        <v>349</v>
      </c>
      <c r="H71" s="15"/>
      <c r="I71" s="26">
        <v>33818213</v>
      </c>
      <c r="J71" s="26">
        <v>32517513</v>
      </c>
      <c r="K71" s="26">
        <f t="shared" si="0"/>
        <v>1300700</v>
      </c>
    </row>
    <row r="72" spans="1:11" ht="15">
      <c r="A72" s="166">
        <v>44435</v>
      </c>
      <c r="B72" s="28" t="s">
        <v>2767</v>
      </c>
      <c r="C72" s="168" t="s">
        <v>2865</v>
      </c>
      <c r="D72" s="168" t="s">
        <v>3235</v>
      </c>
      <c r="E72" s="143" t="s">
        <v>3245</v>
      </c>
      <c r="F72" s="29"/>
      <c r="G72" s="152" t="s">
        <v>1228</v>
      </c>
      <c r="H72" s="15"/>
      <c r="I72" s="26">
        <v>20309333</v>
      </c>
      <c r="J72" s="26">
        <v>20309333</v>
      </c>
      <c r="K72" s="26">
        <f t="shared" si="0"/>
        <v>0</v>
      </c>
    </row>
    <row r="73" spans="1:11" ht="15">
      <c r="A73" s="166">
        <v>44463</v>
      </c>
      <c r="B73" s="28">
        <v>313</v>
      </c>
      <c r="C73" s="168">
        <v>1570</v>
      </c>
      <c r="D73" s="168">
        <v>1760</v>
      </c>
      <c r="E73" s="143" t="s">
        <v>3401</v>
      </c>
      <c r="F73" s="29"/>
      <c r="G73" s="152" t="s">
        <v>324</v>
      </c>
      <c r="H73" s="15"/>
      <c r="I73" s="26">
        <v>1083333</v>
      </c>
      <c r="J73" s="26">
        <v>1083333</v>
      </c>
      <c r="K73" s="26">
        <f t="shared" si="0"/>
        <v>0</v>
      </c>
    </row>
    <row r="74" spans="1:11" ht="15">
      <c r="A74" s="166">
        <v>44463</v>
      </c>
      <c r="B74" s="28">
        <v>589</v>
      </c>
      <c r="C74" s="168">
        <v>1571</v>
      </c>
      <c r="D74" s="168">
        <v>1762</v>
      </c>
      <c r="E74" s="143" t="s">
        <v>3402</v>
      </c>
      <c r="F74" s="29"/>
      <c r="G74" s="152" t="s">
        <v>1654</v>
      </c>
      <c r="H74" s="15"/>
      <c r="I74" s="26">
        <v>8810367</v>
      </c>
      <c r="J74" s="26">
        <v>8810367</v>
      </c>
      <c r="K74" s="26">
        <f t="shared" si="0"/>
        <v>0</v>
      </c>
    </row>
    <row r="75" spans="1:11" ht="15">
      <c r="A75" s="166">
        <v>44463</v>
      </c>
      <c r="B75" s="28">
        <v>631</v>
      </c>
      <c r="C75" s="168">
        <v>1611</v>
      </c>
      <c r="D75" s="168">
        <v>1765</v>
      </c>
      <c r="E75" s="143" t="s">
        <v>3403</v>
      </c>
      <c r="F75" s="29"/>
      <c r="G75" s="152" t="s">
        <v>1659</v>
      </c>
      <c r="H75" s="15"/>
      <c r="I75" s="26">
        <v>21866667</v>
      </c>
      <c r="J75" s="26">
        <v>21866667</v>
      </c>
      <c r="K75" s="26">
        <f t="shared" si="0"/>
        <v>0</v>
      </c>
    </row>
    <row r="76" spans="1:11" ht="15">
      <c r="A76" s="166">
        <v>44466</v>
      </c>
      <c r="B76" s="28">
        <v>626</v>
      </c>
      <c r="C76" s="168">
        <v>1572</v>
      </c>
      <c r="D76" s="168">
        <v>1771</v>
      </c>
      <c r="E76" s="143" t="s">
        <v>3404</v>
      </c>
      <c r="F76" s="29"/>
      <c r="G76" s="152" t="s">
        <v>1657</v>
      </c>
      <c r="H76" s="15"/>
      <c r="I76" s="26">
        <v>1998757</v>
      </c>
      <c r="J76" s="26">
        <v>1998757</v>
      </c>
      <c r="K76" s="26">
        <f t="shared" si="0"/>
        <v>0</v>
      </c>
    </row>
    <row r="77" spans="1:11" ht="15">
      <c r="A77" s="166">
        <v>44467</v>
      </c>
      <c r="B77" s="28">
        <v>645</v>
      </c>
      <c r="C77" s="168">
        <v>1616</v>
      </c>
      <c r="D77" s="168">
        <v>1776</v>
      </c>
      <c r="E77" s="143" t="s">
        <v>3405</v>
      </c>
      <c r="F77" s="29"/>
      <c r="G77" s="152" t="s">
        <v>1660</v>
      </c>
      <c r="H77" s="15"/>
      <c r="I77" s="26">
        <v>7800000</v>
      </c>
      <c r="J77" s="26">
        <v>7800000</v>
      </c>
      <c r="K77" s="26">
        <f t="shared" si="0"/>
        <v>0</v>
      </c>
    </row>
    <row r="78" spans="1:11" ht="15">
      <c r="A78" s="166">
        <v>44496</v>
      </c>
      <c r="B78" s="28" t="s">
        <v>2439</v>
      </c>
      <c r="C78" s="168" t="s">
        <v>3692</v>
      </c>
      <c r="D78" s="168" t="s">
        <v>3693</v>
      </c>
      <c r="E78" s="143" t="s">
        <v>3690</v>
      </c>
      <c r="F78" s="29"/>
      <c r="G78" s="152" t="s">
        <v>3691</v>
      </c>
      <c r="H78" s="15"/>
      <c r="I78" s="26">
        <v>6609525</v>
      </c>
      <c r="J78" s="26">
        <v>5640128</v>
      </c>
      <c r="K78" s="26">
        <f t="shared" si="0"/>
        <v>969397</v>
      </c>
    </row>
    <row r="79" spans="1:11" ht="15">
      <c r="A79" s="17"/>
      <c r="B79" s="18"/>
      <c r="C79" s="18"/>
      <c r="D79" s="18"/>
      <c r="E79" s="18"/>
      <c r="F79" s="18"/>
      <c r="G79" s="298" t="s">
        <v>19</v>
      </c>
      <c r="H79" s="299"/>
      <c r="I79" s="31">
        <f>SUM(I13:I78)</f>
        <v>3717066486</v>
      </c>
      <c r="J79" s="31">
        <f>SUM(J13:J78)</f>
        <v>3072016975</v>
      </c>
      <c r="K79" s="31">
        <f>SUM(K13:K78)</f>
        <v>645049511</v>
      </c>
    </row>
    <row r="80" spans="1:11" ht="12.75" customHeight="1">
      <c r="A80" s="17"/>
      <c r="B80" s="18"/>
      <c r="C80" s="18"/>
      <c r="D80" s="18"/>
      <c r="E80" s="18"/>
      <c r="F80" s="22"/>
      <c r="G80" s="18"/>
      <c r="H80" s="18"/>
      <c r="I80" s="22"/>
      <c r="J80" s="22"/>
      <c r="K80" s="23"/>
    </row>
    <row r="81" spans="1:11" ht="24.95" customHeight="1">
      <c r="A81" s="76" t="s">
        <v>38</v>
      </c>
      <c r="B81" s="77" t="s">
        <v>40</v>
      </c>
      <c r="C81" s="76" t="s">
        <v>41</v>
      </c>
      <c r="D81" s="78" t="s">
        <v>39</v>
      </c>
      <c r="E81" s="76" t="s">
        <v>15</v>
      </c>
      <c r="F81" s="76" t="s">
        <v>34</v>
      </c>
      <c r="G81" s="76" t="s">
        <v>16</v>
      </c>
      <c r="H81" s="76" t="s">
        <v>22</v>
      </c>
      <c r="I81" s="76" t="s">
        <v>12</v>
      </c>
      <c r="J81" s="76" t="s">
        <v>23</v>
      </c>
      <c r="K81" s="76" t="s">
        <v>4</v>
      </c>
    </row>
    <row r="82" spans="1:11" ht="24.95" customHeight="1">
      <c r="A82" s="79">
        <v>3783802000</v>
      </c>
      <c r="B82" s="79">
        <v>0</v>
      </c>
      <c r="C82" s="79">
        <v>0</v>
      </c>
      <c r="D82" s="80">
        <f>+A82+B82-C82</f>
        <v>3783802000</v>
      </c>
      <c r="E82" s="80">
        <f>+I79</f>
        <v>3717066486</v>
      </c>
      <c r="F82" s="81">
        <f>+E82/D82</f>
        <v>0.98236284192460388</v>
      </c>
      <c r="G82" s="80">
        <f>+I10</f>
        <v>0</v>
      </c>
      <c r="H82" s="80">
        <f>+D82-E82-G82</f>
        <v>66735514</v>
      </c>
      <c r="I82" s="80">
        <f>+J79</f>
        <v>3072016975</v>
      </c>
      <c r="J82" s="81">
        <f>+I82/D82</f>
        <v>0.81188629188313766</v>
      </c>
      <c r="K82" s="80">
        <f>+K79</f>
        <v>645049511</v>
      </c>
    </row>
    <row r="83" spans="1:11" ht="15">
      <c r="A83" s="82">
        <v>1</v>
      </c>
      <c r="B83" s="82">
        <v>2</v>
      </c>
      <c r="C83" s="82">
        <v>3</v>
      </c>
      <c r="D83" s="82" t="s">
        <v>3</v>
      </c>
      <c r="E83" s="82">
        <v>5</v>
      </c>
      <c r="F83" s="82" t="s">
        <v>18</v>
      </c>
      <c r="G83" s="82">
        <v>7</v>
      </c>
      <c r="H83" s="82" t="s">
        <v>9</v>
      </c>
      <c r="I83" s="82">
        <v>9</v>
      </c>
      <c r="J83" s="82" t="s">
        <v>24</v>
      </c>
      <c r="K83" s="82" t="s">
        <v>25</v>
      </c>
    </row>
    <row r="85" spans="2:2" ht="15">
      <c r="B85" s="68"/>
    </row>
    <row r="86" spans="2:9" ht="15">
      <c r="B86" s="68"/>
      <c r="I86" s="68"/>
    </row>
    <row r="87" spans="2:2" ht="15">
      <c r="B87" s="68"/>
    </row>
  </sheetData>
  <mergeCells count="16">
    <mergeCell ref="J11:J12"/>
    <mergeCell ref="E12:F12"/>
    <mergeCell ref="G12:H12"/>
    <mergeCell ref="A3:J3"/>
    <mergeCell ref="A5:A6"/>
    <mergeCell ref="B5:B6"/>
    <mergeCell ref="D5:D6"/>
    <mergeCell ref="E5:H5"/>
    <mergeCell ref="I5:I6"/>
    <mergeCell ref="J5:K6"/>
    <mergeCell ref="E6:H6"/>
    <mergeCell ref="G79:H79"/>
    <mergeCell ref="G10:H10"/>
    <mergeCell ref="A11:A12"/>
    <mergeCell ref="E11:H11"/>
    <mergeCell ref="I11:I1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K73"/>
  <sheetViews>
    <sheetView workbookViewId="0" topLeftCell="A1">
      <selection pane="topLeft" activeCell="A7" sqref="A7:XFD11"/>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11" width="15.714285714285714" style="3" customWidth="1"/>
    <col min="12" max="16384" width="11.428571428571429" style="3"/>
  </cols>
  <sheetData>
    <row r="1" spans="1:11" ht="12.75" customHeight="1">
      <c r="A1" s="1" t="s">
        <v>35</v>
      </c>
      <c r="B1" s="1"/>
      <c r="C1" s="1"/>
      <c r="D1" s="1"/>
      <c r="E1" s="2"/>
      <c r="F1" s="1"/>
      <c r="G1" s="2"/>
      <c r="H1" s="2"/>
      <c r="I1" s="2"/>
      <c r="J1" s="2"/>
      <c r="K1" s="2"/>
    </row>
    <row r="2" spans="1:11" ht="12.75" customHeight="1">
      <c r="A2" s="2"/>
      <c r="B2" s="2"/>
      <c r="C2" s="2"/>
      <c r="D2" s="2"/>
      <c r="E2" s="2"/>
      <c r="F2" s="2"/>
      <c r="G2" s="2"/>
      <c r="H2" s="2"/>
      <c r="I2" s="2"/>
      <c r="J2" s="2"/>
      <c r="K2" s="72"/>
    </row>
    <row r="3" spans="1:11" ht="15" customHeight="1">
      <c r="A3" s="284" t="s">
        <v>481</v>
      </c>
      <c r="B3" s="284"/>
      <c r="C3" s="284"/>
      <c r="D3" s="284"/>
      <c r="E3" s="284"/>
      <c r="F3" s="284"/>
      <c r="G3" s="284"/>
      <c r="H3" s="284"/>
      <c r="I3" s="284"/>
      <c r="J3" s="284"/>
      <c r="K3" s="74" t="s">
        <v>3889</v>
      </c>
    </row>
    <row r="4" spans="1:11" ht="12.75" customHeight="1">
      <c r="A4" s="4"/>
      <c r="B4" s="4"/>
      <c r="C4" s="4"/>
      <c r="D4" s="4"/>
      <c r="E4" s="4"/>
      <c r="F4" s="4"/>
      <c r="G4" s="4"/>
      <c r="H4" s="4"/>
      <c r="I4" s="4"/>
      <c r="J4" s="4"/>
      <c r="K4" s="5"/>
    </row>
    <row r="5" spans="1:11" ht="15">
      <c r="A5" s="287" t="s">
        <v>5</v>
      </c>
      <c r="B5" s="303" t="s">
        <v>26</v>
      </c>
      <c r="C5" s="103"/>
      <c r="D5" s="287" t="s">
        <v>17</v>
      </c>
      <c r="E5" s="300" t="s">
        <v>16</v>
      </c>
      <c r="F5" s="301"/>
      <c r="G5" s="301"/>
      <c r="H5" s="302"/>
      <c r="I5" s="287" t="s">
        <v>7</v>
      </c>
      <c r="J5" s="294" t="s">
        <v>21</v>
      </c>
      <c r="K5" s="295"/>
    </row>
    <row r="6" spans="1:11" ht="28.5" customHeight="1">
      <c r="A6" s="288"/>
      <c r="B6" s="304"/>
      <c r="C6" s="104"/>
      <c r="D6" s="288"/>
      <c r="E6" s="300" t="s">
        <v>2</v>
      </c>
      <c r="F6" s="301"/>
      <c r="G6" s="301"/>
      <c r="H6" s="302"/>
      <c r="I6" s="288"/>
      <c r="J6" s="296"/>
      <c r="K6" s="297"/>
    </row>
    <row r="7" spans="1:11" ht="15">
      <c r="A7" s="278"/>
      <c r="B7" s="214"/>
      <c r="C7" s="212"/>
      <c r="D7" s="278"/>
      <c r="E7" s="113"/>
      <c r="F7" s="113"/>
      <c r="G7" s="113"/>
      <c r="H7" s="108"/>
      <c r="I7" s="278"/>
      <c r="J7" s="213"/>
      <c r="K7" s="212"/>
    </row>
    <row r="8" spans="1:11" ht="12.75" customHeight="1">
      <c r="A8" s="251"/>
      <c r="B8" s="14"/>
      <c r="C8" s="15"/>
      <c r="D8" s="250"/>
      <c r="E8" s="248"/>
      <c r="F8" s="10"/>
      <c r="G8" s="10"/>
      <c r="H8" s="9"/>
      <c r="I8" s="249"/>
      <c r="J8" s="13"/>
      <c r="K8" s="12"/>
    </row>
    <row r="9" spans="1:11" ht="15">
      <c r="A9" s="17"/>
      <c r="B9" s="18"/>
      <c r="C9" s="18"/>
      <c r="D9" s="18"/>
      <c r="E9" s="18"/>
      <c r="F9" s="18"/>
      <c r="G9" s="298" t="s">
        <v>19</v>
      </c>
      <c r="H9" s="299"/>
      <c r="I9" s="19">
        <f>SUM(I7:I8)</f>
        <v>0</v>
      </c>
      <c r="J9" s="20"/>
      <c r="K9" s="21"/>
    </row>
    <row r="10" spans="1:11" ht="15">
      <c r="A10" s="287" t="s">
        <v>5</v>
      </c>
      <c r="B10" s="32" t="s">
        <v>13</v>
      </c>
      <c r="C10" s="101" t="s">
        <v>20</v>
      </c>
      <c r="D10" s="24" t="s">
        <v>20</v>
      </c>
      <c r="E10" s="300" t="s">
        <v>15</v>
      </c>
      <c r="F10" s="301"/>
      <c r="G10" s="301"/>
      <c r="H10" s="302"/>
      <c r="I10" s="287" t="s">
        <v>7</v>
      </c>
      <c r="J10" s="287" t="s">
        <v>6</v>
      </c>
      <c r="K10" s="101" t="s">
        <v>0</v>
      </c>
    </row>
    <row r="11" spans="1:11" ht="15">
      <c r="A11" s="288"/>
      <c r="B11" s="102" t="s">
        <v>14</v>
      </c>
      <c r="C11" s="102" t="s">
        <v>11</v>
      </c>
      <c r="D11" s="102" t="s">
        <v>10</v>
      </c>
      <c r="E11" s="300" t="s">
        <v>2</v>
      </c>
      <c r="F11" s="302"/>
      <c r="G11" s="300" t="s">
        <v>8</v>
      </c>
      <c r="H11" s="302"/>
      <c r="I11" s="288"/>
      <c r="J11" s="288"/>
      <c r="K11" s="102" t="s">
        <v>1</v>
      </c>
    </row>
    <row r="12" spans="1:11" ht="12.75" customHeight="1">
      <c r="A12" s="25">
        <v>44202</v>
      </c>
      <c r="B12" s="107">
        <v>24</v>
      </c>
      <c r="C12" s="69">
        <v>34</v>
      </c>
      <c r="D12" s="170">
        <v>7</v>
      </c>
      <c r="E12" s="6" t="s">
        <v>414</v>
      </c>
      <c r="F12" s="10"/>
      <c r="G12" s="114" t="s">
        <v>170</v>
      </c>
      <c r="H12" s="7"/>
      <c r="I12" s="26">
        <f>112416667-316667</f>
        <v>112100000</v>
      </c>
      <c r="J12" s="268">
        <v>112100000</v>
      </c>
      <c r="K12" s="26">
        <f>+I12-J12</f>
        <v>0</v>
      </c>
    </row>
    <row r="13" spans="1:11" ht="15">
      <c r="A13" s="25">
        <v>44202</v>
      </c>
      <c r="B13" s="28">
        <v>29</v>
      </c>
      <c r="C13" s="71">
        <v>56</v>
      </c>
      <c r="D13" s="171">
        <v>11</v>
      </c>
      <c r="E13" s="8" t="s">
        <v>593</v>
      </c>
      <c r="F13" s="29"/>
      <c r="G13" s="115" t="s">
        <v>96</v>
      </c>
      <c r="H13" s="30"/>
      <c r="I13" s="26">
        <f>97853333-33620000</f>
        <v>64233333</v>
      </c>
      <c r="J13" s="268">
        <v>64233333</v>
      </c>
      <c r="K13" s="26">
        <f t="shared" si="0" ref="K13:K64">+I13-J13</f>
        <v>0</v>
      </c>
    </row>
    <row r="14" spans="1:11" ht="15">
      <c r="A14" s="27">
        <v>44202</v>
      </c>
      <c r="B14" s="28">
        <v>30</v>
      </c>
      <c r="C14" s="28">
        <v>69</v>
      </c>
      <c r="D14" s="168">
        <v>31</v>
      </c>
      <c r="E14" s="67" t="s">
        <v>594</v>
      </c>
      <c r="F14" s="29"/>
      <c r="G14" s="115" t="s">
        <v>105</v>
      </c>
      <c r="H14" s="15"/>
      <c r="I14" s="26">
        <f>97033333-546667</f>
        <v>96486666</v>
      </c>
      <c r="J14" s="268">
        <v>96486666</v>
      </c>
      <c r="K14" s="26">
        <f t="shared" si="0"/>
        <v>0</v>
      </c>
    </row>
    <row r="15" spans="1:11" ht="15">
      <c r="A15" s="27">
        <v>44202</v>
      </c>
      <c r="B15" s="28">
        <v>31</v>
      </c>
      <c r="C15" s="28">
        <v>57</v>
      </c>
      <c r="D15" s="168">
        <v>33</v>
      </c>
      <c r="E15" s="8" t="s">
        <v>595</v>
      </c>
      <c r="F15" s="29"/>
      <c r="G15" s="115" t="s">
        <v>277</v>
      </c>
      <c r="H15" s="15"/>
      <c r="I15" s="26">
        <f>31062500-87500</f>
        <v>30975000</v>
      </c>
      <c r="J15" s="268">
        <v>30975000</v>
      </c>
      <c r="K15" s="26">
        <f t="shared" si="0"/>
        <v>0</v>
      </c>
    </row>
    <row r="16" spans="1:11" ht="15">
      <c r="A16" s="172">
        <v>44222</v>
      </c>
      <c r="B16" s="28">
        <v>294</v>
      </c>
      <c r="C16" s="28">
        <v>59</v>
      </c>
      <c r="D16" s="28">
        <v>342</v>
      </c>
      <c r="E16" s="143" t="s">
        <v>596</v>
      </c>
      <c r="F16" s="29"/>
      <c r="G16" s="115" t="s">
        <v>173</v>
      </c>
      <c r="H16" s="15"/>
      <c r="I16" s="26">
        <v>45000000</v>
      </c>
      <c r="J16" s="268">
        <v>45000000</v>
      </c>
      <c r="K16" s="26">
        <f t="shared" si="0"/>
        <v>0</v>
      </c>
    </row>
    <row r="17" spans="1:11" ht="15">
      <c r="A17" s="172">
        <v>44222</v>
      </c>
      <c r="B17" s="28">
        <v>273</v>
      </c>
      <c r="C17" s="28">
        <v>23</v>
      </c>
      <c r="D17" s="28">
        <v>345</v>
      </c>
      <c r="E17" s="143" t="s">
        <v>386</v>
      </c>
      <c r="F17" s="29"/>
      <c r="G17" s="115" t="s">
        <v>172</v>
      </c>
      <c r="H17" s="15"/>
      <c r="I17" s="26">
        <f>41984000-14414507</f>
        <v>27569493</v>
      </c>
      <c r="J17" s="268">
        <v>27569493</v>
      </c>
      <c r="K17" s="26">
        <f t="shared" si="0"/>
        <v>0</v>
      </c>
    </row>
    <row r="18" spans="1:11" ht="15">
      <c r="A18" s="172">
        <v>44223</v>
      </c>
      <c r="B18" s="28">
        <v>349</v>
      </c>
      <c r="C18" s="28">
        <v>448</v>
      </c>
      <c r="D18" s="28">
        <v>372</v>
      </c>
      <c r="E18" s="143" t="s">
        <v>597</v>
      </c>
      <c r="F18" s="29"/>
      <c r="G18" s="115" t="s">
        <v>168</v>
      </c>
      <c r="H18" s="15"/>
      <c r="I18" s="26">
        <v>82500000</v>
      </c>
      <c r="J18" s="268">
        <v>82500000</v>
      </c>
      <c r="K18" s="26">
        <f t="shared" si="0"/>
        <v>0</v>
      </c>
    </row>
    <row r="19" spans="1:11" ht="15">
      <c r="A19" s="172">
        <v>44224</v>
      </c>
      <c r="B19" s="28">
        <v>351</v>
      </c>
      <c r="C19" s="28">
        <v>444</v>
      </c>
      <c r="D19" s="28">
        <v>387</v>
      </c>
      <c r="E19" s="143" t="s">
        <v>413</v>
      </c>
      <c r="F19" s="29"/>
      <c r="G19" s="115" t="s">
        <v>205</v>
      </c>
      <c r="H19" s="15"/>
      <c r="I19" s="26">
        <v>46500000</v>
      </c>
      <c r="J19" s="268">
        <v>46500000</v>
      </c>
      <c r="K19" s="26">
        <f t="shared" si="0"/>
        <v>0</v>
      </c>
    </row>
    <row r="20" spans="1:11" ht="15">
      <c r="A20" s="172">
        <v>44224</v>
      </c>
      <c r="B20" s="28">
        <v>350</v>
      </c>
      <c r="C20" s="28">
        <v>443</v>
      </c>
      <c r="D20" s="28">
        <v>388</v>
      </c>
      <c r="E20" s="143" t="s">
        <v>598</v>
      </c>
      <c r="F20" s="29"/>
      <c r="G20" s="115" t="s">
        <v>169</v>
      </c>
      <c r="H20" s="15"/>
      <c r="I20" s="26">
        <f>57344000-51227307</f>
        <v>6116693</v>
      </c>
      <c r="J20" s="268">
        <v>6116693</v>
      </c>
      <c r="K20" s="26">
        <f t="shared" si="0"/>
        <v>0</v>
      </c>
    </row>
    <row r="21" spans="1:11" ht="15">
      <c r="A21" s="172">
        <v>44225</v>
      </c>
      <c r="B21" s="28">
        <v>375</v>
      </c>
      <c r="C21" s="28">
        <v>452</v>
      </c>
      <c r="D21" s="28">
        <v>396</v>
      </c>
      <c r="E21" s="143" t="s">
        <v>599</v>
      </c>
      <c r="F21" s="29"/>
      <c r="G21" s="115" t="s">
        <v>204</v>
      </c>
      <c r="H21" s="15"/>
      <c r="I21" s="26">
        <v>47000000</v>
      </c>
      <c r="J21" s="268">
        <v>47000000</v>
      </c>
      <c r="K21" s="26">
        <f t="shared" si="0"/>
        <v>0</v>
      </c>
    </row>
    <row r="22" spans="1:11" ht="15">
      <c r="A22" s="172">
        <v>44225</v>
      </c>
      <c r="B22" s="28">
        <v>384</v>
      </c>
      <c r="C22" s="28">
        <v>478</v>
      </c>
      <c r="D22" s="28">
        <v>403</v>
      </c>
      <c r="E22" s="143" t="s">
        <v>600</v>
      </c>
      <c r="F22" s="29"/>
      <c r="G22" s="115" t="s">
        <v>171</v>
      </c>
      <c r="H22" s="15"/>
      <c r="I22" s="26">
        <f>69836800-211627</f>
        <v>69625173</v>
      </c>
      <c r="J22" s="268">
        <v>69625173</v>
      </c>
      <c r="K22" s="26">
        <f t="shared" si="0"/>
        <v>0</v>
      </c>
    </row>
    <row r="23" spans="1:11" ht="15">
      <c r="A23" s="172">
        <v>44225</v>
      </c>
      <c r="B23" s="28">
        <v>386</v>
      </c>
      <c r="C23" s="28">
        <v>480</v>
      </c>
      <c r="D23" s="28">
        <v>405</v>
      </c>
      <c r="E23" s="143" t="s">
        <v>601</v>
      </c>
      <c r="F23" s="29"/>
      <c r="G23" s="115" t="s">
        <v>353</v>
      </c>
      <c r="H23" s="15"/>
      <c r="I23" s="26">
        <v>85043200</v>
      </c>
      <c r="J23" s="268">
        <v>85043200</v>
      </c>
      <c r="K23" s="26">
        <f t="shared" si="0"/>
        <v>0</v>
      </c>
    </row>
    <row r="24" spans="1:11" ht="15">
      <c r="A24" s="172">
        <v>44228</v>
      </c>
      <c r="B24" s="28" t="s">
        <v>1283</v>
      </c>
      <c r="C24" s="28" t="s">
        <v>1267</v>
      </c>
      <c r="D24" s="28" t="s">
        <v>1268</v>
      </c>
      <c r="E24" s="143" t="s">
        <v>831</v>
      </c>
      <c r="F24" s="29"/>
      <c r="G24" s="115" t="s">
        <v>1249</v>
      </c>
      <c r="H24" s="15"/>
      <c r="I24" s="26">
        <f>67584000-1433600</f>
        <v>66150400</v>
      </c>
      <c r="J24" s="268">
        <v>66150400</v>
      </c>
      <c r="K24" s="26">
        <f t="shared" si="0"/>
        <v>0</v>
      </c>
    </row>
    <row r="25" spans="1:11" ht="15">
      <c r="A25" s="172">
        <v>44229</v>
      </c>
      <c r="B25" s="28" t="s">
        <v>1284</v>
      </c>
      <c r="C25" s="28" t="s">
        <v>1269</v>
      </c>
      <c r="D25" s="28" t="s">
        <v>1270</v>
      </c>
      <c r="E25" s="143" t="s">
        <v>1246</v>
      </c>
      <c r="F25" s="29"/>
      <c r="G25" s="115" t="s">
        <v>1250</v>
      </c>
      <c r="H25" s="15"/>
      <c r="I25" s="26">
        <v>58368000</v>
      </c>
      <c r="J25" s="268">
        <v>58368000</v>
      </c>
      <c r="K25" s="26">
        <f t="shared" si="0"/>
        <v>0</v>
      </c>
    </row>
    <row r="26" spans="1:11" ht="15">
      <c r="A26" s="172">
        <v>44229</v>
      </c>
      <c r="B26" s="28" t="s">
        <v>1285</v>
      </c>
      <c r="C26" s="28" t="s">
        <v>1121</v>
      </c>
      <c r="D26" s="28" t="s">
        <v>448</v>
      </c>
      <c r="E26" s="143" t="s">
        <v>1247</v>
      </c>
      <c r="F26" s="29"/>
      <c r="G26" s="115" t="s">
        <v>1251</v>
      </c>
      <c r="H26" s="15"/>
      <c r="I26" s="26">
        <v>46500000</v>
      </c>
      <c r="J26" s="268">
        <v>46500000</v>
      </c>
      <c r="K26" s="26">
        <f t="shared" si="0"/>
        <v>0</v>
      </c>
    </row>
    <row r="27" spans="1:11" ht="15">
      <c r="A27" s="172">
        <v>44230</v>
      </c>
      <c r="B27" s="28" t="s">
        <v>1286</v>
      </c>
      <c r="C27" s="28" t="s">
        <v>1271</v>
      </c>
      <c r="D27" s="28" t="s">
        <v>1088</v>
      </c>
      <c r="E27" s="143" t="s">
        <v>833</v>
      </c>
      <c r="F27" s="29"/>
      <c r="G27" s="115" t="s">
        <v>1252</v>
      </c>
      <c r="H27" s="15"/>
      <c r="I27" s="26">
        <v>25000000</v>
      </c>
      <c r="J27" s="268">
        <v>25000000</v>
      </c>
      <c r="K27" s="26">
        <f t="shared" si="0"/>
        <v>0</v>
      </c>
    </row>
    <row r="28" spans="1:11" ht="15">
      <c r="A28" s="172">
        <v>44232</v>
      </c>
      <c r="B28" s="28" t="s">
        <v>1282</v>
      </c>
      <c r="C28" s="28" t="s">
        <v>1272</v>
      </c>
      <c r="D28" s="28" t="s">
        <v>986</v>
      </c>
      <c r="E28" s="143" t="s">
        <v>837</v>
      </c>
      <c r="F28" s="29"/>
      <c r="G28" s="115" t="s">
        <v>1253</v>
      </c>
      <c r="H28" s="15"/>
      <c r="I28" s="26">
        <v>33600000</v>
      </c>
      <c r="J28" s="268">
        <v>33600000</v>
      </c>
      <c r="K28" s="26">
        <f t="shared" si="0"/>
        <v>0</v>
      </c>
    </row>
    <row r="29" spans="1:11" ht="15">
      <c r="A29" s="172">
        <v>44232</v>
      </c>
      <c r="B29" s="28" t="s">
        <v>890</v>
      </c>
      <c r="C29" s="28" t="s">
        <v>1273</v>
      </c>
      <c r="D29" s="28" t="s">
        <v>1204</v>
      </c>
      <c r="E29" s="143" t="s">
        <v>834</v>
      </c>
      <c r="F29" s="29"/>
      <c r="G29" s="115" t="s">
        <v>1254</v>
      </c>
      <c r="H29" s="15"/>
      <c r="I29" s="26">
        <v>32000000</v>
      </c>
      <c r="J29" s="268">
        <v>32000000</v>
      </c>
      <c r="K29" s="26">
        <f t="shared" si="0"/>
        <v>0</v>
      </c>
    </row>
    <row r="30" spans="1:11" ht="15">
      <c r="A30" s="172">
        <v>44232</v>
      </c>
      <c r="B30" s="28" t="s">
        <v>1271</v>
      </c>
      <c r="C30" s="28" t="s">
        <v>1274</v>
      </c>
      <c r="D30" s="28" t="s">
        <v>1243</v>
      </c>
      <c r="E30" s="143" t="s">
        <v>836</v>
      </c>
      <c r="F30" s="29"/>
      <c r="G30" s="115" t="s">
        <v>1255</v>
      </c>
      <c r="H30" s="15"/>
      <c r="I30" s="26">
        <v>33600000</v>
      </c>
      <c r="J30" s="268">
        <v>33600000</v>
      </c>
      <c r="K30" s="26">
        <f t="shared" si="0"/>
        <v>0</v>
      </c>
    </row>
    <row r="31" spans="1:11" ht="15">
      <c r="A31" s="172">
        <v>44232</v>
      </c>
      <c r="B31" s="28" t="s">
        <v>891</v>
      </c>
      <c r="C31" s="28" t="s">
        <v>1275</v>
      </c>
      <c r="D31" s="28" t="s">
        <v>1202</v>
      </c>
      <c r="E31" s="143" t="s">
        <v>835</v>
      </c>
      <c r="F31" s="29"/>
      <c r="G31" s="115" t="s">
        <v>1256</v>
      </c>
      <c r="H31" s="15"/>
      <c r="I31" s="26">
        <v>32800000</v>
      </c>
      <c r="J31" s="268">
        <v>32800000</v>
      </c>
      <c r="K31" s="26">
        <f t="shared" si="0"/>
        <v>0</v>
      </c>
    </row>
    <row r="32" spans="1:11" ht="14.25" customHeight="1">
      <c r="A32" s="172">
        <v>44232</v>
      </c>
      <c r="B32" s="28" t="s">
        <v>1287</v>
      </c>
      <c r="C32" s="28" t="s">
        <v>975</v>
      </c>
      <c r="D32" s="28" t="s">
        <v>1203</v>
      </c>
      <c r="E32" s="143" t="s">
        <v>782</v>
      </c>
      <c r="F32" s="29"/>
      <c r="G32" s="115" t="s">
        <v>1257</v>
      </c>
      <c r="H32" s="15"/>
      <c r="I32" s="26">
        <v>49152000</v>
      </c>
      <c r="J32" s="268">
        <v>49152000</v>
      </c>
      <c r="K32" s="26">
        <f t="shared" si="0"/>
        <v>0</v>
      </c>
    </row>
    <row r="33" spans="1:11" ht="15">
      <c r="A33" s="172">
        <v>44235</v>
      </c>
      <c r="B33" s="28" t="s">
        <v>893</v>
      </c>
      <c r="C33" s="28" t="s">
        <v>1276</v>
      </c>
      <c r="D33" s="28" t="s">
        <v>909</v>
      </c>
      <c r="E33" s="143" t="s">
        <v>843</v>
      </c>
      <c r="F33" s="29"/>
      <c r="G33" s="115" t="s">
        <v>1258</v>
      </c>
      <c r="H33" s="15"/>
      <c r="I33" s="26">
        <v>51200000</v>
      </c>
      <c r="J33" s="268">
        <v>51200000</v>
      </c>
      <c r="K33" s="26">
        <f t="shared" si="0"/>
        <v>0</v>
      </c>
    </row>
    <row r="34" spans="1:11" ht="15">
      <c r="A34" s="172">
        <v>44235</v>
      </c>
      <c r="B34" s="28" t="s">
        <v>1269</v>
      </c>
      <c r="C34" s="28" t="s">
        <v>1277</v>
      </c>
      <c r="D34" s="28" t="s">
        <v>1185</v>
      </c>
      <c r="E34" s="143" t="s">
        <v>839</v>
      </c>
      <c r="F34" s="29"/>
      <c r="G34" s="115" t="s">
        <v>1259</v>
      </c>
      <c r="H34" s="15"/>
      <c r="I34" s="26">
        <v>36000000</v>
      </c>
      <c r="J34" s="268">
        <v>36000000</v>
      </c>
      <c r="K34" s="26">
        <f t="shared" si="0"/>
        <v>0</v>
      </c>
    </row>
    <row r="35" spans="1:11" ht="15">
      <c r="A35" s="172">
        <v>44235</v>
      </c>
      <c r="B35" s="28" t="s">
        <v>1177</v>
      </c>
      <c r="C35" s="28" t="s">
        <v>412</v>
      </c>
      <c r="D35" s="28" t="s">
        <v>1278</v>
      </c>
      <c r="E35" s="143" t="s">
        <v>840</v>
      </c>
      <c r="F35" s="29"/>
      <c r="G35" s="115" t="s">
        <v>1260</v>
      </c>
      <c r="H35" s="15"/>
      <c r="I35" s="26">
        <v>36000000</v>
      </c>
      <c r="J35" s="268">
        <v>36000000</v>
      </c>
      <c r="K35" s="26">
        <f t="shared" si="0"/>
        <v>0</v>
      </c>
    </row>
    <row r="36" spans="1:11" ht="15">
      <c r="A36" s="172">
        <v>44235</v>
      </c>
      <c r="B36" s="28" t="s">
        <v>1122</v>
      </c>
      <c r="C36" s="28" t="s">
        <v>1095</v>
      </c>
      <c r="D36" s="28" t="s">
        <v>892</v>
      </c>
      <c r="E36" s="143" t="s">
        <v>1054</v>
      </c>
      <c r="F36" s="29"/>
      <c r="G36" s="115" t="s">
        <v>1072</v>
      </c>
      <c r="H36" s="15"/>
      <c r="I36" s="26">
        <v>9574373</v>
      </c>
      <c r="J36" s="268">
        <v>9574373</v>
      </c>
      <c r="K36" s="26">
        <f t="shared" si="0"/>
        <v>0</v>
      </c>
    </row>
    <row r="37" spans="1:11" ht="15">
      <c r="A37" s="166">
        <v>44238</v>
      </c>
      <c r="B37" s="28" t="s">
        <v>450</v>
      </c>
      <c r="C37" s="28" t="s">
        <v>1279</v>
      </c>
      <c r="D37" s="28" t="s">
        <v>1189</v>
      </c>
      <c r="E37" s="8" t="s">
        <v>838</v>
      </c>
      <c r="F37" s="29"/>
      <c r="G37" s="115" t="s">
        <v>1261</v>
      </c>
      <c r="H37" s="15"/>
      <c r="I37" s="26">
        <v>36000000</v>
      </c>
      <c r="J37" s="268">
        <v>36000000</v>
      </c>
      <c r="K37" s="26">
        <f t="shared" si="0"/>
        <v>0</v>
      </c>
    </row>
    <row r="38" spans="1:11" ht="15">
      <c r="A38" s="166">
        <v>44236</v>
      </c>
      <c r="B38" s="28" t="s">
        <v>1288</v>
      </c>
      <c r="C38" s="28" t="s">
        <v>1280</v>
      </c>
      <c r="D38" s="28" t="s">
        <v>1129</v>
      </c>
      <c r="E38" s="8" t="s">
        <v>844</v>
      </c>
      <c r="F38" s="29"/>
      <c r="G38" s="115" t="s">
        <v>1262</v>
      </c>
      <c r="H38" s="15"/>
      <c r="I38" s="26">
        <v>58000000</v>
      </c>
      <c r="J38" s="268">
        <v>58000000</v>
      </c>
      <c r="K38" s="26">
        <f t="shared" si="0"/>
        <v>0</v>
      </c>
    </row>
    <row r="39" spans="1:11" ht="15">
      <c r="A39" s="166">
        <v>44238</v>
      </c>
      <c r="B39" s="28" t="s">
        <v>1185</v>
      </c>
      <c r="C39" s="28" t="s">
        <v>1005</v>
      </c>
      <c r="D39" s="28" t="s">
        <v>999</v>
      </c>
      <c r="E39" s="8" t="s">
        <v>1248</v>
      </c>
      <c r="F39" s="29"/>
      <c r="G39" s="115" t="s">
        <v>1263</v>
      </c>
      <c r="H39" s="15"/>
      <c r="I39" s="26">
        <v>36000000</v>
      </c>
      <c r="J39" s="268">
        <v>36000000</v>
      </c>
      <c r="K39" s="26">
        <f t="shared" si="0"/>
        <v>0</v>
      </c>
    </row>
    <row r="40" spans="1:11" ht="15">
      <c r="A40" s="166">
        <v>44238</v>
      </c>
      <c r="B40" s="28" t="s">
        <v>1176</v>
      </c>
      <c r="C40" s="28" t="s">
        <v>1243</v>
      </c>
      <c r="D40" s="28" t="s">
        <v>1130</v>
      </c>
      <c r="E40" s="8" t="s">
        <v>842</v>
      </c>
      <c r="F40" s="29"/>
      <c r="G40" s="115" t="s">
        <v>1264</v>
      </c>
      <c r="H40" s="15"/>
      <c r="I40" s="26">
        <v>47000000</v>
      </c>
      <c r="J40" s="268">
        <v>47000000</v>
      </c>
      <c r="K40" s="26">
        <f t="shared" si="0"/>
        <v>0</v>
      </c>
    </row>
    <row r="41" spans="1:11" ht="15">
      <c r="A41" s="166">
        <v>44238</v>
      </c>
      <c r="B41" s="28" t="s">
        <v>1289</v>
      </c>
      <c r="C41" s="28" t="s">
        <v>1281</v>
      </c>
      <c r="D41" s="28" t="s">
        <v>905</v>
      </c>
      <c r="E41" s="8" t="s">
        <v>841</v>
      </c>
      <c r="F41" s="29"/>
      <c r="G41" s="115" t="s">
        <v>1265</v>
      </c>
      <c r="H41" s="15"/>
      <c r="I41" s="26">
        <v>44000000</v>
      </c>
      <c r="J41" s="268">
        <v>44000000</v>
      </c>
      <c r="K41" s="26">
        <f t="shared" si="0"/>
        <v>0</v>
      </c>
    </row>
    <row r="42" spans="1:11" ht="15">
      <c r="A42" s="166">
        <v>44242</v>
      </c>
      <c r="B42" s="28" t="s">
        <v>1290</v>
      </c>
      <c r="C42" s="28" t="s">
        <v>1282</v>
      </c>
      <c r="D42" s="28" t="s">
        <v>1212</v>
      </c>
      <c r="E42" s="8" t="s">
        <v>832</v>
      </c>
      <c r="F42" s="29"/>
      <c r="G42" s="115" t="s">
        <v>1266</v>
      </c>
      <c r="H42" s="15"/>
      <c r="I42" s="26">
        <v>12000000</v>
      </c>
      <c r="J42" s="268">
        <v>12000000</v>
      </c>
      <c r="K42" s="26">
        <f t="shared" si="0"/>
        <v>0</v>
      </c>
    </row>
    <row r="43" spans="1:11" ht="15">
      <c r="A43" s="166">
        <v>44286</v>
      </c>
      <c r="B43" s="28" t="s">
        <v>1109</v>
      </c>
      <c r="C43" s="28" t="s">
        <v>1682</v>
      </c>
      <c r="D43" s="28" t="s">
        <v>1683</v>
      </c>
      <c r="E43" s="8" t="s">
        <v>1681</v>
      </c>
      <c r="F43" s="29"/>
      <c r="G43" s="115" t="s">
        <v>1680</v>
      </c>
      <c r="H43" s="15"/>
      <c r="I43" s="26">
        <v>51300000</v>
      </c>
      <c r="J43" s="268">
        <v>51300000</v>
      </c>
      <c r="K43" s="26">
        <f t="shared" si="0"/>
        <v>0</v>
      </c>
    </row>
    <row r="44" spans="1:11" ht="15">
      <c r="A44" s="166">
        <v>44295</v>
      </c>
      <c r="B44" s="28" t="s">
        <v>1122</v>
      </c>
      <c r="C44" s="28" t="s">
        <v>1726</v>
      </c>
      <c r="D44" s="28" t="s">
        <v>1606</v>
      </c>
      <c r="E44" s="8" t="s">
        <v>1814</v>
      </c>
      <c r="F44" s="29"/>
      <c r="G44" s="115" t="s">
        <v>1072</v>
      </c>
      <c r="H44" s="15"/>
      <c r="I44" s="26">
        <v>5336794</v>
      </c>
      <c r="J44" s="268">
        <v>5336793</v>
      </c>
      <c r="K44" s="26">
        <f t="shared" si="0"/>
        <v>1</v>
      </c>
    </row>
    <row r="45" spans="1:11" ht="15">
      <c r="A45" s="166">
        <v>44421</v>
      </c>
      <c r="B45" s="28" t="s">
        <v>2500</v>
      </c>
      <c r="C45" s="28" t="s">
        <v>3246</v>
      </c>
      <c r="D45" s="28" t="s">
        <v>3247</v>
      </c>
      <c r="E45" s="8" t="s">
        <v>3248</v>
      </c>
      <c r="F45" s="29"/>
      <c r="G45" s="115" t="s">
        <v>172</v>
      </c>
      <c r="H45" s="15"/>
      <c r="I45" s="26">
        <f>31733333-453333</f>
        <v>31280000</v>
      </c>
      <c r="J45" s="268">
        <v>31280000</v>
      </c>
      <c r="K45" s="26">
        <f t="shared" si="0"/>
        <v>0</v>
      </c>
    </row>
    <row r="46" spans="1:11" ht="15">
      <c r="A46" s="166">
        <v>44476</v>
      </c>
      <c r="B46" s="28" t="s">
        <v>1271</v>
      </c>
      <c r="C46" s="28" t="s">
        <v>3701</v>
      </c>
      <c r="D46" s="28" t="s">
        <v>3702</v>
      </c>
      <c r="E46" s="8" t="s">
        <v>3694</v>
      </c>
      <c r="F46" s="29"/>
      <c r="G46" s="115" t="s">
        <v>1255</v>
      </c>
      <c r="H46" s="15"/>
      <c r="I46" s="26">
        <v>11620000</v>
      </c>
      <c r="J46" s="268">
        <v>11620000</v>
      </c>
      <c r="K46" s="26">
        <f t="shared" si="0"/>
        <v>0</v>
      </c>
    </row>
    <row r="47" spans="1:11" ht="15">
      <c r="A47" s="166">
        <v>44476</v>
      </c>
      <c r="B47" s="28" t="s">
        <v>1269</v>
      </c>
      <c r="C47" s="28" t="s">
        <v>3703</v>
      </c>
      <c r="D47" s="28" t="s">
        <v>3704</v>
      </c>
      <c r="E47" s="8" t="s">
        <v>3695</v>
      </c>
      <c r="F47" s="29"/>
      <c r="G47" s="115" t="s">
        <v>1259</v>
      </c>
      <c r="H47" s="15"/>
      <c r="I47" s="26">
        <v>12450000</v>
      </c>
      <c r="J47" s="268">
        <v>12450000</v>
      </c>
      <c r="K47" s="26">
        <f t="shared" si="0"/>
        <v>0</v>
      </c>
    </row>
    <row r="48" spans="1:11" ht="15">
      <c r="A48" s="166">
        <v>44476</v>
      </c>
      <c r="B48" s="28" t="s">
        <v>891</v>
      </c>
      <c r="C48" s="28" t="s">
        <v>3705</v>
      </c>
      <c r="D48" s="28" t="s">
        <v>3706</v>
      </c>
      <c r="E48" s="8" t="s">
        <v>3696</v>
      </c>
      <c r="F48" s="29"/>
      <c r="G48" s="115" t="s">
        <v>1256</v>
      </c>
      <c r="H48" s="15"/>
      <c r="I48" s="26">
        <v>11343333</v>
      </c>
      <c r="J48" s="268">
        <v>11343333</v>
      </c>
      <c r="K48" s="26">
        <f t="shared" si="0"/>
        <v>0</v>
      </c>
    </row>
    <row r="49" spans="1:11" ht="15">
      <c r="A49" s="166">
        <v>44476</v>
      </c>
      <c r="B49" s="28" t="s">
        <v>890</v>
      </c>
      <c r="C49" s="28" t="s">
        <v>3707</v>
      </c>
      <c r="D49" s="28" t="s">
        <v>3708</v>
      </c>
      <c r="E49" s="8" t="s">
        <v>3697</v>
      </c>
      <c r="F49" s="29"/>
      <c r="G49" s="115" t="s">
        <v>1254</v>
      </c>
      <c r="H49" s="15"/>
      <c r="I49" s="26">
        <v>11066667</v>
      </c>
      <c r="J49" s="268">
        <v>11066667</v>
      </c>
      <c r="K49" s="26">
        <f t="shared" si="0"/>
        <v>0</v>
      </c>
    </row>
    <row r="50" spans="1:11" ht="15">
      <c r="A50" s="166">
        <v>44476</v>
      </c>
      <c r="B50" s="28" t="s">
        <v>1282</v>
      </c>
      <c r="C50" s="28" t="s">
        <v>3709</v>
      </c>
      <c r="D50" s="28" t="s">
        <v>3710</v>
      </c>
      <c r="E50" s="8" t="s">
        <v>3698</v>
      </c>
      <c r="F50" s="29"/>
      <c r="G50" s="115" t="s">
        <v>1253</v>
      </c>
      <c r="H50" s="15"/>
      <c r="I50" s="26">
        <v>11620000</v>
      </c>
      <c r="J50" s="268">
        <v>11620000</v>
      </c>
      <c r="K50" s="26">
        <f t="shared" si="0"/>
        <v>0</v>
      </c>
    </row>
    <row r="51" spans="1:11" ht="15">
      <c r="A51" s="166">
        <v>44478</v>
      </c>
      <c r="B51" s="28" t="s">
        <v>1177</v>
      </c>
      <c r="C51" s="28" t="s">
        <v>3711</v>
      </c>
      <c r="D51" s="28" t="s">
        <v>3712</v>
      </c>
      <c r="E51" s="8" t="s">
        <v>3699</v>
      </c>
      <c r="F51" s="29"/>
      <c r="G51" s="115" t="s">
        <v>1260</v>
      </c>
      <c r="H51" s="15"/>
      <c r="I51" s="26">
        <v>6000000</v>
      </c>
      <c r="J51" s="268">
        <v>6000000</v>
      </c>
      <c r="K51" s="26">
        <f t="shared" si="0"/>
        <v>0</v>
      </c>
    </row>
    <row r="52" spans="1:11" ht="15">
      <c r="A52" s="166">
        <v>44480</v>
      </c>
      <c r="B52" s="28" t="s">
        <v>893</v>
      </c>
      <c r="C52" s="28" t="s">
        <v>3713</v>
      </c>
      <c r="D52" s="28" t="s">
        <v>3714</v>
      </c>
      <c r="E52" s="8" t="s">
        <v>3700</v>
      </c>
      <c r="F52" s="29"/>
      <c r="G52" s="115" t="s">
        <v>1258</v>
      </c>
      <c r="H52" s="15"/>
      <c r="I52" s="26">
        <v>8533333</v>
      </c>
      <c r="J52" s="268">
        <v>8533333</v>
      </c>
      <c r="K52" s="26">
        <f t="shared" si="0"/>
        <v>0</v>
      </c>
    </row>
    <row r="53" spans="1:11" ht="15">
      <c r="A53" s="166">
        <v>44519</v>
      </c>
      <c r="B53" s="28">
        <v>464</v>
      </c>
      <c r="C53" s="28">
        <v>1791</v>
      </c>
      <c r="D53" s="28">
        <v>2005</v>
      </c>
      <c r="E53" s="8" t="s">
        <v>3879</v>
      </c>
      <c r="F53" s="29"/>
      <c r="G53" s="115" t="s">
        <v>1260</v>
      </c>
      <c r="H53" s="15"/>
      <c r="I53" s="26">
        <v>5400000</v>
      </c>
      <c r="J53" s="268">
        <v>5400000</v>
      </c>
      <c r="K53" s="26">
        <f t="shared" si="0"/>
        <v>0</v>
      </c>
    </row>
    <row r="54" spans="1:11" ht="15">
      <c r="A54" s="166">
        <v>44519</v>
      </c>
      <c r="B54" s="28">
        <v>456</v>
      </c>
      <c r="C54" s="28">
        <v>1792</v>
      </c>
      <c r="D54" s="28">
        <v>2006</v>
      </c>
      <c r="E54" s="8" t="s">
        <v>3880</v>
      </c>
      <c r="F54" s="29"/>
      <c r="G54" s="115" t="s">
        <v>1258</v>
      </c>
      <c r="H54" s="15"/>
      <c r="I54" s="26">
        <v>7466667</v>
      </c>
      <c r="J54" s="268">
        <v>7466667</v>
      </c>
      <c r="K54" s="26">
        <f t="shared" si="0"/>
        <v>0</v>
      </c>
    </row>
    <row r="55" spans="1:11" ht="15">
      <c r="A55" s="166">
        <v>44526</v>
      </c>
      <c r="B55" s="28">
        <v>294</v>
      </c>
      <c r="C55" s="28">
        <v>1804</v>
      </c>
      <c r="D55" s="28">
        <v>2021</v>
      </c>
      <c r="E55" s="8" t="s">
        <v>3881</v>
      </c>
      <c r="F55" s="29"/>
      <c r="G55" s="115" t="s">
        <v>173</v>
      </c>
      <c r="H55" s="15"/>
      <c r="I55" s="26">
        <v>4500000</v>
      </c>
      <c r="J55" s="268">
        <v>4500000</v>
      </c>
      <c r="K55" s="26">
        <f t="shared" si="0"/>
        <v>0</v>
      </c>
    </row>
    <row r="56" spans="1:11" ht="15">
      <c r="A56" s="166">
        <v>44531</v>
      </c>
      <c r="B56" s="28">
        <v>407</v>
      </c>
      <c r="C56" s="28">
        <v>1805</v>
      </c>
      <c r="D56" s="28">
        <v>2034</v>
      </c>
      <c r="E56" s="8" t="s">
        <v>3973</v>
      </c>
      <c r="F56" s="29"/>
      <c r="G56" s="115" t="s">
        <v>1250</v>
      </c>
      <c r="H56" s="15"/>
      <c r="I56" s="26">
        <v>4864000</v>
      </c>
      <c r="J56" s="280">
        <v>4864000</v>
      </c>
      <c r="K56" s="26">
        <f t="shared" si="0"/>
        <v>0</v>
      </c>
    </row>
    <row r="57" spans="1:11" ht="15">
      <c r="A57" s="166">
        <v>44531</v>
      </c>
      <c r="B57" s="28">
        <v>375</v>
      </c>
      <c r="C57" s="28">
        <v>1807</v>
      </c>
      <c r="D57" s="28">
        <v>2035</v>
      </c>
      <c r="E57" s="8" t="s">
        <v>3974</v>
      </c>
      <c r="F57" s="29"/>
      <c r="G57" s="115" t="s">
        <v>204</v>
      </c>
      <c r="H57" s="15"/>
      <c r="I57" s="26">
        <v>3446667</v>
      </c>
      <c r="J57" s="280">
        <v>3446667</v>
      </c>
      <c r="K57" s="26">
        <f t="shared" si="0"/>
        <v>0</v>
      </c>
    </row>
    <row r="58" spans="1:11" ht="15">
      <c r="A58" s="166">
        <v>44531</v>
      </c>
      <c r="B58" s="28">
        <v>351</v>
      </c>
      <c r="C58" s="28">
        <v>1806</v>
      </c>
      <c r="D58" s="28">
        <v>2036</v>
      </c>
      <c r="E58" s="8" t="s">
        <v>3975</v>
      </c>
      <c r="F58" s="29"/>
      <c r="G58" s="115" t="s">
        <v>205</v>
      </c>
      <c r="H58" s="15"/>
      <c r="I58" s="26">
        <v>3720000</v>
      </c>
      <c r="J58" s="280">
        <v>3720000</v>
      </c>
      <c r="K58" s="26">
        <f t="shared" si="0"/>
        <v>0</v>
      </c>
    </row>
    <row r="59" spans="1:11" ht="15">
      <c r="A59" s="166">
        <v>44531</v>
      </c>
      <c r="B59" s="28">
        <v>450</v>
      </c>
      <c r="C59" s="28">
        <v>1808</v>
      </c>
      <c r="D59" s="28">
        <v>2037</v>
      </c>
      <c r="E59" s="8" t="s">
        <v>3976</v>
      </c>
      <c r="F59" s="29"/>
      <c r="G59" s="115" t="s">
        <v>1257</v>
      </c>
      <c r="H59" s="15"/>
      <c r="I59" s="26">
        <v>3112960</v>
      </c>
      <c r="J59" s="280">
        <v>3112960</v>
      </c>
      <c r="K59" s="26">
        <f t="shared" si="0"/>
        <v>0</v>
      </c>
    </row>
    <row r="60" spans="1:11" ht="15">
      <c r="A60" s="166">
        <v>44533</v>
      </c>
      <c r="B60" s="28">
        <v>385</v>
      </c>
      <c r="C60" s="28">
        <v>1815</v>
      </c>
      <c r="D60" s="28">
        <v>2043</v>
      </c>
      <c r="E60" s="8" t="s">
        <v>3977</v>
      </c>
      <c r="F60" s="29"/>
      <c r="G60" s="115" t="s">
        <v>1251</v>
      </c>
      <c r="H60" s="15"/>
      <c r="I60" s="26">
        <v>3255000</v>
      </c>
      <c r="J60" s="280">
        <v>3255000</v>
      </c>
      <c r="K60" s="26">
        <f t="shared" si="0"/>
        <v>0</v>
      </c>
    </row>
    <row r="61" spans="1:11" ht="15">
      <c r="A61" s="166">
        <v>44537</v>
      </c>
      <c r="B61" s="28">
        <v>381</v>
      </c>
      <c r="C61" s="28">
        <v>1854</v>
      </c>
      <c r="D61" s="28">
        <v>2069</v>
      </c>
      <c r="E61" s="8" t="s">
        <v>3978</v>
      </c>
      <c r="F61" s="29"/>
      <c r="G61" s="115" t="s">
        <v>1252</v>
      </c>
      <c r="H61" s="15"/>
      <c r="I61" s="26">
        <v>1916667</v>
      </c>
      <c r="J61" s="280">
        <v>1916667</v>
      </c>
      <c r="K61" s="26">
        <f t="shared" si="0"/>
        <v>0</v>
      </c>
    </row>
    <row r="62" spans="1:11" ht="15">
      <c r="A62" s="166">
        <v>44539</v>
      </c>
      <c r="B62" s="28">
        <v>467</v>
      </c>
      <c r="C62" s="28">
        <v>1862</v>
      </c>
      <c r="D62" s="28">
        <v>2170</v>
      </c>
      <c r="E62" s="8" t="s">
        <v>3979</v>
      </c>
      <c r="F62" s="29"/>
      <c r="G62" s="115" t="s">
        <v>1262</v>
      </c>
      <c r="H62" s="15"/>
      <c r="I62" s="26">
        <v>4060000</v>
      </c>
      <c r="J62" s="280">
        <v>4060000</v>
      </c>
      <c r="K62" s="26">
        <f t="shared" si="0"/>
        <v>0</v>
      </c>
    </row>
    <row r="63" spans="1:11" ht="15">
      <c r="A63" s="166">
        <v>44544</v>
      </c>
      <c r="B63" s="28">
        <v>510</v>
      </c>
      <c r="C63" s="28">
        <v>1874</v>
      </c>
      <c r="D63" s="28">
        <v>2184</v>
      </c>
      <c r="E63" s="8" t="s">
        <v>3980</v>
      </c>
      <c r="F63" s="29"/>
      <c r="G63" s="115" t="s">
        <v>1264</v>
      </c>
      <c r="H63" s="15"/>
      <c r="I63" s="26">
        <v>2056667</v>
      </c>
      <c r="J63" s="280">
        <v>2036667</v>
      </c>
      <c r="K63" s="26">
        <f t="shared" si="0"/>
        <v>20000</v>
      </c>
    </row>
    <row r="64" spans="1:11" ht="15">
      <c r="A64" s="166">
        <v>44544</v>
      </c>
      <c r="B64" s="28">
        <v>508</v>
      </c>
      <c r="C64" s="28">
        <v>1873</v>
      </c>
      <c r="D64" s="28">
        <v>2185</v>
      </c>
      <c r="E64" s="8" t="s">
        <v>3981</v>
      </c>
      <c r="F64" s="29"/>
      <c r="G64" s="115" t="s">
        <v>1263</v>
      </c>
      <c r="H64" s="15"/>
      <c r="I64" s="26">
        <v>1920000</v>
      </c>
      <c r="J64" s="280">
        <v>1920000</v>
      </c>
      <c r="K64" s="26">
        <f t="shared" si="0"/>
        <v>0</v>
      </c>
    </row>
    <row r="65" spans="1:11" ht="15">
      <c r="A65" s="17"/>
      <c r="B65" s="18"/>
      <c r="C65" s="18"/>
      <c r="D65" s="18"/>
      <c r="E65" s="18"/>
      <c r="F65" s="18"/>
      <c r="G65" s="298" t="s">
        <v>19</v>
      </c>
      <c r="H65" s="299"/>
      <c r="I65" s="31">
        <f>SUM(I12:I64)</f>
        <v>1662363086</v>
      </c>
      <c r="J65" s="31">
        <f>SUM(J12:J64)</f>
        <v>1662343085</v>
      </c>
      <c r="K65" s="31">
        <f>SUM(K12:K64)</f>
        <v>20001</v>
      </c>
    </row>
    <row r="66" spans="1:11" ht="12.75" customHeight="1">
      <c r="A66" s="17"/>
      <c r="B66" s="18"/>
      <c r="C66" s="18"/>
      <c r="D66" s="18"/>
      <c r="E66" s="18"/>
      <c r="F66" s="22"/>
      <c r="G66" s="18"/>
      <c r="H66" s="18"/>
      <c r="I66" s="22"/>
      <c r="J66" s="22"/>
      <c r="K66" s="23"/>
    </row>
    <row r="67" spans="1:11" ht="24.95" customHeight="1">
      <c r="A67" s="76" t="s">
        <v>38</v>
      </c>
      <c r="B67" s="77" t="s">
        <v>40</v>
      </c>
      <c r="C67" s="76" t="s">
        <v>41</v>
      </c>
      <c r="D67" s="78" t="s">
        <v>39</v>
      </c>
      <c r="E67" s="76" t="s">
        <v>15</v>
      </c>
      <c r="F67" s="76" t="s">
        <v>34</v>
      </c>
      <c r="G67" s="76" t="s">
        <v>16</v>
      </c>
      <c r="H67" s="76" t="s">
        <v>22</v>
      </c>
      <c r="I67" s="76" t="s">
        <v>12</v>
      </c>
      <c r="J67" s="76" t="s">
        <v>23</v>
      </c>
      <c r="K67" s="76" t="s">
        <v>4</v>
      </c>
    </row>
    <row r="68" spans="1:11" ht="24.95" customHeight="1">
      <c r="A68" s="79">
        <v>1690301000</v>
      </c>
      <c r="B68" s="79">
        <v>0</v>
      </c>
      <c r="C68" s="79">
        <v>0</v>
      </c>
      <c r="D68" s="80">
        <f>+A68+B68-C68</f>
        <v>1690301000</v>
      </c>
      <c r="E68" s="80">
        <f>+I65</f>
        <v>1662363086</v>
      </c>
      <c r="F68" s="81">
        <f>+E68/D68</f>
        <v>0.98347163375043856</v>
      </c>
      <c r="G68" s="80">
        <f>+I9</f>
        <v>0</v>
      </c>
      <c r="H68" s="80">
        <f>+D68-E68-G68</f>
        <v>27937914</v>
      </c>
      <c r="I68" s="80">
        <f>+J65</f>
        <v>1662343085</v>
      </c>
      <c r="J68" s="81">
        <f>+I68/D68</f>
        <v>0.98345980094669527</v>
      </c>
      <c r="K68" s="80">
        <f>+K65</f>
        <v>20001</v>
      </c>
    </row>
    <row r="69" spans="1:11" ht="15">
      <c r="A69" s="82">
        <v>1</v>
      </c>
      <c r="B69" s="82">
        <v>2</v>
      </c>
      <c r="C69" s="82">
        <v>3</v>
      </c>
      <c r="D69" s="82" t="s">
        <v>3</v>
      </c>
      <c r="E69" s="82">
        <v>5</v>
      </c>
      <c r="F69" s="82" t="s">
        <v>18</v>
      </c>
      <c r="G69" s="82">
        <v>7</v>
      </c>
      <c r="H69" s="82" t="s">
        <v>9</v>
      </c>
      <c r="I69" s="82">
        <v>9</v>
      </c>
      <c r="J69" s="82" t="s">
        <v>24</v>
      </c>
      <c r="K69" s="82" t="s">
        <v>25</v>
      </c>
    </row>
    <row r="71" spans="2:2" ht="15">
      <c r="B71" s="68"/>
    </row>
    <row r="72" spans="2:9" ht="15">
      <c r="B72" s="68"/>
      <c r="I72" s="68"/>
    </row>
    <row r="73" spans="2:2" ht="15">
      <c r="B73" s="68"/>
    </row>
  </sheetData>
  <mergeCells count="16">
    <mergeCell ref="J10:J11"/>
    <mergeCell ref="E11:F11"/>
    <mergeCell ref="G11:H11"/>
    <mergeCell ref="A3:J3"/>
    <mergeCell ref="A5:A6"/>
    <mergeCell ref="B5:B6"/>
    <mergeCell ref="D5:D6"/>
    <mergeCell ref="E5:H5"/>
    <mergeCell ref="I5:I6"/>
    <mergeCell ref="J5:K6"/>
    <mergeCell ref="E6:H6"/>
    <mergeCell ref="G65:H65"/>
    <mergeCell ref="G9:H9"/>
    <mergeCell ref="A10:A11"/>
    <mergeCell ref="E10:H10"/>
    <mergeCell ref="I10:I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K459"/>
  <sheetViews>
    <sheetView workbookViewId="0" topLeftCell="A1">
      <selection pane="topLeft" activeCell="A7" sqref="A7:XFD16"/>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8" width="15.714285714285714" style="3" customWidth="1"/>
    <col min="9" max="9" width="17" style="85" customWidth="1"/>
    <col min="10" max="10" width="15.714285714285714" style="3" customWidth="1"/>
    <col min="11" max="11" width="17.571428571428573" style="3" customWidth="1"/>
    <col min="12" max="16384" width="11.428571428571429" style="3"/>
  </cols>
  <sheetData>
    <row r="1" spans="1:11" ht="12.75" customHeight="1">
      <c r="A1" s="1" t="s">
        <v>35</v>
      </c>
      <c r="B1" s="1"/>
      <c r="C1" s="1"/>
      <c r="D1" s="1"/>
      <c r="E1" s="2"/>
      <c r="F1" s="1"/>
      <c r="G1" s="2"/>
      <c r="H1" s="2"/>
      <c r="I1" s="83"/>
      <c r="J1" s="2"/>
      <c r="K1" s="2"/>
    </row>
    <row r="2" spans="1:11" ht="12.75" customHeight="1">
      <c r="A2" s="2"/>
      <c r="B2" s="2"/>
      <c r="C2" s="2"/>
      <c r="D2" s="2"/>
      <c r="E2" s="2"/>
      <c r="F2" s="2"/>
      <c r="G2" s="2"/>
      <c r="H2" s="2"/>
      <c r="I2" s="83"/>
      <c r="J2" s="2"/>
      <c r="K2" s="72"/>
    </row>
    <row r="3" spans="1:11" ht="15" customHeight="1">
      <c r="A3" s="284" t="s">
        <v>304</v>
      </c>
      <c r="B3" s="284"/>
      <c r="C3" s="284"/>
      <c r="D3" s="284"/>
      <c r="E3" s="284"/>
      <c r="F3" s="284"/>
      <c r="G3" s="284"/>
      <c r="H3" s="284"/>
      <c r="I3" s="284"/>
      <c r="J3" s="284"/>
      <c r="K3" s="74" t="s">
        <v>3889</v>
      </c>
    </row>
    <row r="4" spans="1:11" ht="12.75" customHeight="1">
      <c r="A4" s="4"/>
      <c r="B4" s="4"/>
      <c r="C4" s="4"/>
      <c r="D4" s="4"/>
      <c r="E4" s="4"/>
      <c r="F4" s="4"/>
      <c r="G4" s="4"/>
      <c r="H4" s="4"/>
      <c r="I4" s="84"/>
      <c r="J4" s="4"/>
      <c r="K4" s="5"/>
    </row>
    <row r="5" spans="1:11" ht="15">
      <c r="A5" s="287" t="s">
        <v>5</v>
      </c>
      <c r="B5" s="303" t="s">
        <v>26</v>
      </c>
      <c r="C5" s="103"/>
      <c r="D5" s="287" t="s">
        <v>17</v>
      </c>
      <c r="E5" s="300" t="s">
        <v>16</v>
      </c>
      <c r="F5" s="301"/>
      <c r="G5" s="301"/>
      <c r="H5" s="302"/>
      <c r="I5" s="287" t="s">
        <v>7</v>
      </c>
      <c r="J5" s="294" t="s">
        <v>21</v>
      </c>
      <c r="K5" s="295"/>
    </row>
    <row r="6" spans="1:11" ht="15">
      <c r="A6" s="288"/>
      <c r="B6" s="304"/>
      <c r="C6" s="104"/>
      <c r="D6" s="288"/>
      <c r="E6" s="300" t="s">
        <v>2</v>
      </c>
      <c r="F6" s="301"/>
      <c r="G6" s="301"/>
      <c r="H6" s="302"/>
      <c r="I6" s="288"/>
      <c r="J6" s="296"/>
      <c r="K6" s="297"/>
    </row>
    <row r="7" spans="1:11" ht="12.75" customHeight="1">
      <c r="A7" s="264"/>
      <c r="B7" s="237"/>
      <c r="C7" s="222"/>
      <c r="D7" s="265"/>
      <c r="E7" s="188"/>
      <c r="F7" s="219"/>
      <c r="G7" s="220"/>
      <c r="H7" s="221"/>
      <c r="I7" s="266"/>
      <c r="J7" s="8"/>
      <c r="K7" s="9"/>
    </row>
    <row r="8" spans="1:11" ht="12.75" customHeight="1">
      <c r="A8" s="264"/>
      <c r="B8" s="237"/>
      <c r="C8" s="222"/>
      <c r="D8" s="265"/>
      <c r="E8" s="188"/>
      <c r="F8" s="219"/>
      <c r="G8" s="220"/>
      <c r="H8" s="221"/>
      <c r="I8" s="266"/>
      <c r="J8" s="8"/>
      <c r="K8" s="9"/>
    </row>
    <row r="9" spans="1:11" ht="12.75" customHeight="1">
      <c r="A9" s="264"/>
      <c r="B9" s="237"/>
      <c r="C9" s="222"/>
      <c r="D9" s="265"/>
      <c r="E9" s="188"/>
      <c r="F9" s="219"/>
      <c r="G9" s="220"/>
      <c r="H9" s="221"/>
      <c r="I9" s="266"/>
      <c r="J9" s="8"/>
      <c r="K9" s="9"/>
    </row>
    <row r="10" spans="1:11" ht="15">
      <c r="A10" s="17"/>
      <c r="B10" s="18"/>
      <c r="C10" s="18"/>
      <c r="D10" s="18"/>
      <c r="E10" s="18"/>
      <c r="F10" s="18"/>
      <c r="G10" s="298" t="s">
        <v>19</v>
      </c>
      <c r="H10" s="299"/>
      <c r="I10" s="207">
        <f>SUM(I7:I9)</f>
        <v>0</v>
      </c>
      <c r="J10" s="20"/>
      <c r="K10" s="21"/>
    </row>
    <row r="11" spans="1:11" ht="15">
      <c r="A11" s="287" t="s">
        <v>5</v>
      </c>
      <c r="B11" s="32" t="s">
        <v>13</v>
      </c>
      <c r="C11" s="101" t="s">
        <v>20</v>
      </c>
      <c r="D11" s="24" t="s">
        <v>20</v>
      </c>
      <c r="E11" s="300" t="s">
        <v>15</v>
      </c>
      <c r="F11" s="301"/>
      <c r="G11" s="301"/>
      <c r="H11" s="302"/>
      <c r="I11" s="287" t="s">
        <v>7</v>
      </c>
      <c r="J11" s="287" t="s">
        <v>6</v>
      </c>
      <c r="K11" s="101" t="s">
        <v>0</v>
      </c>
    </row>
    <row r="12" spans="1:11" ht="15">
      <c r="A12" s="288"/>
      <c r="B12" s="102" t="s">
        <v>14</v>
      </c>
      <c r="C12" s="102" t="s">
        <v>11</v>
      </c>
      <c r="D12" s="102" t="s">
        <v>10</v>
      </c>
      <c r="E12" s="300" t="s">
        <v>2</v>
      </c>
      <c r="F12" s="302"/>
      <c r="G12" s="300" t="s">
        <v>8</v>
      </c>
      <c r="H12" s="302"/>
      <c r="I12" s="288"/>
      <c r="J12" s="288"/>
      <c r="K12" s="102" t="s">
        <v>1</v>
      </c>
    </row>
    <row r="13" spans="1:11" ht="15">
      <c r="A13" s="111">
        <v>44202</v>
      </c>
      <c r="B13" s="69">
        <v>19</v>
      </c>
      <c r="C13" s="69">
        <v>48</v>
      </c>
      <c r="D13" s="69">
        <v>1</v>
      </c>
      <c r="E13" s="106" t="s">
        <v>641</v>
      </c>
      <c r="F13" s="113"/>
      <c r="G13" s="114" t="s">
        <v>69</v>
      </c>
      <c r="H13" s="108"/>
      <c r="I13" s="153">
        <v>112416667</v>
      </c>
      <c r="J13" s="268">
        <v>112416667</v>
      </c>
      <c r="K13" s="112">
        <f>+I13-J13</f>
        <v>0</v>
      </c>
    </row>
    <row r="14" spans="1:11" ht="15">
      <c r="A14" s="111">
        <v>44202</v>
      </c>
      <c r="B14" s="69">
        <v>9</v>
      </c>
      <c r="C14" s="69">
        <v>45</v>
      </c>
      <c r="D14" s="69">
        <v>2</v>
      </c>
      <c r="E14" s="106" t="s">
        <v>642</v>
      </c>
      <c r="F14" s="113"/>
      <c r="G14" s="115" t="s">
        <v>392</v>
      </c>
      <c r="H14" s="108"/>
      <c r="I14" s="153">
        <v>130166667</v>
      </c>
      <c r="J14" s="268">
        <v>130166667</v>
      </c>
      <c r="K14" s="112">
        <f t="shared" si="0" ref="K14:K77">+I14-J14</f>
        <v>0</v>
      </c>
    </row>
    <row r="15" spans="1:11" ht="15">
      <c r="A15" s="111">
        <v>44202</v>
      </c>
      <c r="B15" s="69">
        <v>20</v>
      </c>
      <c r="C15" s="69">
        <v>47</v>
      </c>
      <c r="D15" s="69">
        <v>3</v>
      </c>
      <c r="E15" s="106" t="s">
        <v>643</v>
      </c>
      <c r="F15" s="113"/>
      <c r="G15" s="115" t="s">
        <v>149</v>
      </c>
      <c r="H15" s="108"/>
      <c r="I15" s="153">
        <v>112416667</v>
      </c>
      <c r="J15" s="268">
        <v>112416667</v>
      </c>
      <c r="K15" s="112">
        <f t="shared" si="0"/>
        <v>0</v>
      </c>
    </row>
    <row r="16" spans="1:11" ht="15">
      <c r="A16" s="111">
        <v>44202</v>
      </c>
      <c r="B16" s="69">
        <v>21</v>
      </c>
      <c r="C16" s="69">
        <v>44</v>
      </c>
      <c r="D16" s="69">
        <v>4</v>
      </c>
      <c r="E16" s="106" t="s">
        <v>644</v>
      </c>
      <c r="F16" s="113"/>
      <c r="G16" s="115" t="s">
        <v>55</v>
      </c>
      <c r="H16" s="108"/>
      <c r="I16" s="153">
        <f>59166667-166667</f>
        <v>59000000</v>
      </c>
      <c r="J16" s="268">
        <v>59000000</v>
      </c>
      <c r="K16" s="112">
        <f t="shared" si="0"/>
        <v>0</v>
      </c>
    </row>
    <row r="17" spans="1:11" ht="15">
      <c r="A17" s="111">
        <v>44202</v>
      </c>
      <c r="B17" s="69">
        <v>2</v>
      </c>
      <c r="C17" s="69">
        <v>60</v>
      </c>
      <c r="D17" s="69">
        <v>5</v>
      </c>
      <c r="E17" s="106" t="s">
        <v>645</v>
      </c>
      <c r="F17" s="113"/>
      <c r="G17" s="115" t="s">
        <v>62</v>
      </c>
      <c r="H17" s="108"/>
      <c r="I17" s="153">
        <v>55000000</v>
      </c>
      <c r="J17" s="268">
        <v>55000000</v>
      </c>
      <c r="K17" s="112">
        <f t="shared" si="0"/>
        <v>0</v>
      </c>
    </row>
    <row r="18" spans="1:11" ht="15">
      <c r="A18" s="111">
        <v>44202</v>
      </c>
      <c r="B18" s="69">
        <v>3</v>
      </c>
      <c r="C18" s="69">
        <v>62</v>
      </c>
      <c r="D18" s="69">
        <v>6</v>
      </c>
      <c r="E18" s="106" t="s">
        <v>646</v>
      </c>
      <c r="F18" s="113"/>
      <c r="G18" s="115" t="s">
        <v>366</v>
      </c>
      <c r="H18" s="108"/>
      <c r="I18" s="153">
        <v>28800000</v>
      </c>
      <c r="J18" s="268">
        <v>28800000</v>
      </c>
      <c r="K18" s="112">
        <f t="shared" si="0"/>
        <v>0</v>
      </c>
    </row>
    <row r="19" spans="1:11" ht="15">
      <c r="A19" s="111">
        <v>44202</v>
      </c>
      <c r="B19" s="69">
        <v>11</v>
      </c>
      <c r="C19" s="69">
        <v>24</v>
      </c>
      <c r="D19" s="69">
        <v>8</v>
      </c>
      <c r="E19" s="106" t="s">
        <v>647</v>
      </c>
      <c r="F19" s="113"/>
      <c r="G19" s="115" t="s">
        <v>125</v>
      </c>
      <c r="H19" s="108"/>
      <c r="I19" s="153">
        <v>25224000</v>
      </c>
      <c r="J19" s="268">
        <v>25224000</v>
      </c>
      <c r="K19" s="112">
        <f t="shared" si="0"/>
        <v>0</v>
      </c>
    </row>
    <row r="20" spans="1:11" ht="15">
      <c r="A20" s="111">
        <v>44202</v>
      </c>
      <c r="B20" s="69">
        <v>25</v>
      </c>
      <c r="C20" s="69">
        <v>87</v>
      </c>
      <c r="D20" s="69">
        <v>9</v>
      </c>
      <c r="E20" s="106" t="s">
        <v>648</v>
      </c>
      <c r="F20" s="113"/>
      <c r="G20" s="115" t="s">
        <v>391</v>
      </c>
      <c r="H20" s="108"/>
      <c r="I20" s="153">
        <v>39000000</v>
      </c>
      <c r="J20" s="268">
        <v>39000000</v>
      </c>
      <c r="K20" s="112">
        <f t="shared" si="0"/>
        <v>0</v>
      </c>
    </row>
    <row r="21" spans="1:11" ht="15">
      <c r="A21" s="111">
        <v>44202</v>
      </c>
      <c r="B21" s="69">
        <v>27</v>
      </c>
      <c r="C21" s="69">
        <v>99</v>
      </c>
      <c r="D21" s="69">
        <v>10</v>
      </c>
      <c r="E21" s="106" t="s">
        <v>649</v>
      </c>
      <c r="F21" s="113"/>
      <c r="G21" s="115" t="s">
        <v>602</v>
      </c>
      <c r="H21" s="108"/>
      <c r="I21" s="153">
        <f>51000000-27483333</f>
        <v>23516667</v>
      </c>
      <c r="J21" s="268">
        <v>23516667</v>
      </c>
      <c r="K21" s="112">
        <f t="shared" si="0"/>
        <v>0</v>
      </c>
    </row>
    <row r="22" spans="1:11" ht="15">
      <c r="A22" s="111">
        <v>44202</v>
      </c>
      <c r="B22" s="69">
        <v>8</v>
      </c>
      <c r="C22" s="69">
        <v>61</v>
      </c>
      <c r="D22" s="69">
        <v>12</v>
      </c>
      <c r="E22" s="106" t="s">
        <v>645</v>
      </c>
      <c r="F22" s="113"/>
      <c r="G22" s="115" t="s">
        <v>61</v>
      </c>
      <c r="H22" s="108"/>
      <c r="I22" s="153">
        <v>27648000</v>
      </c>
      <c r="J22" s="268">
        <v>26880000</v>
      </c>
      <c r="K22" s="112">
        <f t="shared" si="0"/>
        <v>768000</v>
      </c>
    </row>
    <row r="23" spans="1:11" ht="15">
      <c r="A23" s="111">
        <v>44202</v>
      </c>
      <c r="B23" s="69">
        <v>45</v>
      </c>
      <c r="C23" s="69">
        <v>88</v>
      </c>
      <c r="D23" s="69">
        <v>17</v>
      </c>
      <c r="E23" s="106" t="s">
        <v>650</v>
      </c>
      <c r="F23" s="113"/>
      <c r="G23" s="115" t="s">
        <v>358</v>
      </c>
      <c r="H23" s="108"/>
      <c r="I23" s="153">
        <f>33000000-26400000</f>
        <v>6600000</v>
      </c>
      <c r="J23" s="268">
        <v>6600000</v>
      </c>
      <c r="K23" s="112">
        <f t="shared" si="0"/>
        <v>0</v>
      </c>
    </row>
    <row r="24" spans="1:11" ht="15">
      <c r="A24" s="111">
        <v>44202</v>
      </c>
      <c r="B24" s="69">
        <v>46</v>
      </c>
      <c r="C24" s="69">
        <v>10</v>
      </c>
      <c r="D24" s="69">
        <v>18</v>
      </c>
      <c r="E24" s="106" t="s">
        <v>651</v>
      </c>
      <c r="F24" s="113"/>
      <c r="G24" s="115" t="s">
        <v>295</v>
      </c>
      <c r="H24" s="108"/>
      <c r="I24" s="153">
        <v>30720000</v>
      </c>
      <c r="J24" s="268">
        <v>30720000</v>
      </c>
      <c r="K24" s="112">
        <f t="shared" si="0"/>
        <v>0</v>
      </c>
    </row>
    <row r="25" spans="1:11" ht="15">
      <c r="A25" s="111">
        <v>44202</v>
      </c>
      <c r="B25" s="69">
        <v>32</v>
      </c>
      <c r="C25" s="69">
        <v>19</v>
      </c>
      <c r="D25" s="69">
        <v>19</v>
      </c>
      <c r="E25" s="106" t="s">
        <v>652</v>
      </c>
      <c r="F25" s="113"/>
      <c r="G25" s="115" t="s">
        <v>127</v>
      </c>
      <c r="H25" s="108"/>
      <c r="I25" s="153">
        <v>25224000</v>
      </c>
      <c r="J25" s="268">
        <v>25224000</v>
      </c>
      <c r="K25" s="112">
        <f t="shared" si="0"/>
        <v>0</v>
      </c>
    </row>
    <row r="26" spans="1:11" ht="15">
      <c r="A26" s="111">
        <v>44202</v>
      </c>
      <c r="B26" s="69">
        <v>33</v>
      </c>
      <c r="C26" s="69">
        <v>20</v>
      </c>
      <c r="D26" s="69">
        <v>20</v>
      </c>
      <c r="E26" s="106" t="s">
        <v>651</v>
      </c>
      <c r="F26" s="113"/>
      <c r="G26" s="115" t="s">
        <v>388</v>
      </c>
      <c r="H26" s="108"/>
      <c r="I26" s="153">
        <v>30720000</v>
      </c>
      <c r="J26" s="268">
        <v>30720000</v>
      </c>
      <c r="K26" s="112">
        <f t="shared" si="0"/>
        <v>0</v>
      </c>
    </row>
    <row r="27" spans="1:11" ht="15">
      <c r="A27" s="111">
        <v>44202</v>
      </c>
      <c r="B27" s="69">
        <v>44</v>
      </c>
      <c r="C27" s="69">
        <v>89</v>
      </c>
      <c r="D27" s="69">
        <v>21</v>
      </c>
      <c r="E27" s="106" t="s">
        <v>425</v>
      </c>
      <c r="F27" s="113"/>
      <c r="G27" s="115" t="s">
        <v>416</v>
      </c>
      <c r="H27" s="108"/>
      <c r="I27" s="153">
        <v>30000000</v>
      </c>
      <c r="J27" s="268">
        <v>30000000</v>
      </c>
      <c r="K27" s="112">
        <f t="shared" si="0"/>
        <v>0</v>
      </c>
    </row>
    <row r="28" spans="1:11" ht="15">
      <c r="A28" s="111">
        <v>44202</v>
      </c>
      <c r="B28" s="69">
        <v>26</v>
      </c>
      <c r="C28" s="69">
        <v>108</v>
      </c>
      <c r="D28" s="69">
        <v>22</v>
      </c>
      <c r="E28" s="106" t="s">
        <v>653</v>
      </c>
      <c r="F28" s="113"/>
      <c r="G28" s="115" t="s">
        <v>603</v>
      </c>
      <c r="H28" s="108"/>
      <c r="I28" s="153">
        <v>99166667</v>
      </c>
      <c r="J28" s="268">
        <v>67716667</v>
      </c>
      <c r="K28" s="112">
        <f t="shared" si="0"/>
        <v>31450000</v>
      </c>
    </row>
    <row r="29" spans="1:11" ht="15">
      <c r="A29" s="111">
        <v>44202</v>
      </c>
      <c r="B29" s="69">
        <v>28</v>
      </c>
      <c r="C29" s="69">
        <v>79</v>
      </c>
      <c r="D29" s="69">
        <v>23</v>
      </c>
      <c r="E29" s="106" t="s">
        <v>654</v>
      </c>
      <c r="F29" s="113"/>
      <c r="G29" s="115" t="s">
        <v>54</v>
      </c>
      <c r="H29" s="108"/>
      <c r="I29" s="153">
        <v>86333333</v>
      </c>
      <c r="J29" s="268">
        <v>86333333</v>
      </c>
      <c r="K29" s="112">
        <f t="shared" si="0"/>
        <v>0</v>
      </c>
    </row>
    <row r="30" spans="1:11" ht="15">
      <c r="A30" s="111">
        <v>44202</v>
      </c>
      <c r="B30" s="69">
        <v>55</v>
      </c>
      <c r="C30" s="69">
        <v>74</v>
      </c>
      <c r="D30" s="69">
        <v>25</v>
      </c>
      <c r="E30" s="106" t="s">
        <v>655</v>
      </c>
      <c r="F30" s="113"/>
      <c r="G30" s="115" t="s">
        <v>56</v>
      </c>
      <c r="H30" s="108"/>
      <c r="I30" s="153">
        <v>56320000</v>
      </c>
      <c r="J30" s="268">
        <v>56320000</v>
      </c>
      <c r="K30" s="112">
        <f t="shared" si="0"/>
        <v>0</v>
      </c>
    </row>
    <row r="31" spans="1:11" ht="12.75" customHeight="1">
      <c r="A31" s="109">
        <v>44202</v>
      </c>
      <c r="B31" s="107">
        <v>56</v>
      </c>
      <c r="C31" s="69">
        <v>77</v>
      </c>
      <c r="D31" s="69">
        <v>26</v>
      </c>
      <c r="E31" s="106" t="s">
        <v>655</v>
      </c>
      <c r="F31" s="10"/>
      <c r="G31" s="115" t="s">
        <v>131</v>
      </c>
      <c r="H31" s="9"/>
      <c r="I31" s="173">
        <v>55000000</v>
      </c>
      <c r="J31" s="268">
        <v>55000000</v>
      </c>
      <c r="K31" s="112">
        <f t="shared" si="0"/>
        <v>0</v>
      </c>
    </row>
    <row r="32" spans="1:11" ht="15">
      <c r="A32" s="109">
        <v>44202</v>
      </c>
      <c r="B32" s="28">
        <v>54</v>
      </c>
      <c r="C32" s="71">
        <v>76</v>
      </c>
      <c r="D32" s="71">
        <v>27</v>
      </c>
      <c r="E32" s="106" t="s">
        <v>656</v>
      </c>
      <c r="F32" s="29"/>
      <c r="G32" s="115" t="s">
        <v>422</v>
      </c>
      <c r="H32" s="30"/>
      <c r="I32" s="173">
        <v>41800000</v>
      </c>
      <c r="J32" s="268">
        <v>41040000</v>
      </c>
      <c r="K32" s="112">
        <f t="shared" si="0"/>
        <v>760000</v>
      </c>
    </row>
    <row r="33" spans="1:11" ht="15">
      <c r="A33" s="109">
        <v>44203</v>
      </c>
      <c r="B33" s="28">
        <v>14</v>
      </c>
      <c r="C33" s="71">
        <v>63</v>
      </c>
      <c r="D33" s="71">
        <v>34</v>
      </c>
      <c r="E33" s="106" t="s">
        <v>657</v>
      </c>
      <c r="F33" s="29"/>
      <c r="G33" s="115" t="s">
        <v>123</v>
      </c>
      <c r="H33" s="30"/>
      <c r="I33" s="173">
        <v>48000000</v>
      </c>
      <c r="J33" s="268">
        <v>48000000</v>
      </c>
      <c r="K33" s="112">
        <f t="shared" si="0"/>
        <v>0</v>
      </c>
    </row>
    <row r="34" spans="1:11" ht="15">
      <c r="A34" s="109">
        <v>44203</v>
      </c>
      <c r="B34" s="28">
        <v>39</v>
      </c>
      <c r="C34" s="71">
        <v>64</v>
      </c>
      <c r="D34" s="71">
        <v>35</v>
      </c>
      <c r="E34" s="106" t="s">
        <v>658</v>
      </c>
      <c r="F34" s="29"/>
      <c r="G34" s="115" t="s">
        <v>335</v>
      </c>
      <c r="H34" s="30"/>
      <c r="I34" s="173">
        <v>30720000</v>
      </c>
      <c r="J34" s="268">
        <v>30720000</v>
      </c>
      <c r="K34" s="112">
        <f t="shared" si="0"/>
        <v>0</v>
      </c>
    </row>
    <row r="35" spans="1:11" ht="15">
      <c r="A35" s="110">
        <v>44203</v>
      </c>
      <c r="B35" s="28">
        <v>61</v>
      </c>
      <c r="C35" s="28">
        <v>107</v>
      </c>
      <c r="D35" s="28">
        <v>38</v>
      </c>
      <c r="E35" s="106" t="s">
        <v>659</v>
      </c>
      <c r="F35" s="29"/>
      <c r="G35" s="115" t="s">
        <v>212</v>
      </c>
      <c r="H35" s="15"/>
      <c r="I35" s="173">
        <v>23100000</v>
      </c>
      <c r="J35" s="268">
        <v>23100000</v>
      </c>
      <c r="K35" s="112">
        <f t="shared" si="0"/>
        <v>0</v>
      </c>
    </row>
    <row r="36" spans="1:11" ht="15">
      <c r="A36" s="110">
        <v>44203</v>
      </c>
      <c r="B36" s="28">
        <v>62</v>
      </c>
      <c r="C36" s="28">
        <v>106</v>
      </c>
      <c r="D36" s="28">
        <v>39</v>
      </c>
      <c r="E36" s="106" t="s">
        <v>660</v>
      </c>
      <c r="F36" s="29"/>
      <c r="G36" s="115" t="s">
        <v>604</v>
      </c>
      <c r="H36" s="15"/>
      <c r="I36" s="208">
        <v>23100000</v>
      </c>
      <c r="J36" s="268">
        <v>23100000</v>
      </c>
      <c r="K36" s="112">
        <f t="shared" si="0"/>
        <v>0</v>
      </c>
    </row>
    <row r="37" spans="1:11" ht="15">
      <c r="A37" s="110">
        <v>44203</v>
      </c>
      <c r="B37" s="28">
        <v>63</v>
      </c>
      <c r="C37" s="28">
        <v>97</v>
      </c>
      <c r="D37" s="28">
        <v>41</v>
      </c>
      <c r="E37" s="106" t="s">
        <v>661</v>
      </c>
      <c r="F37" s="29"/>
      <c r="G37" s="115" t="s">
        <v>77</v>
      </c>
      <c r="H37" s="15"/>
      <c r="I37" s="208">
        <v>55000000</v>
      </c>
      <c r="J37" s="268">
        <v>55000000</v>
      </c>
      <c r="K37" s="112">
        <f t="shared" si="0"/>
        <v>0</v>
      </c>
    </row>
    <row r="38" spans="1:11" ht="15">
      <c r="A38" s="110">
        <v>44203</v>
      </c>
      <c r="B38" s="28">
        <v>47</v>
      </c>
      <c r="C38" s="28">
        <v>112</v>
      </c>
      <c r="D38" s="28">
        <v>48</v>
      </c>
      <c r="E38" s="106" t="s">
        <v>662</v>
      </c>
      <c r="F38" s="29"/>
      <c r="G38" s="115" t="s">
        <v>232</v>
      </c>
      <c r="H38" s="15"/>
      <c r="I38" s="208">
        <v>67584000</v>
      </c>
      <c r="J38" s="268">
        <v>67584000</v>
      </c>
      <c r="K38" s="112">
        <f t="shared" si="0"/>
        <v>0</v>
      </c>
    </row>
    <row r="39" spans="1:11" ht="15">
      <c r="A39" s="110">
        <v>44203</v>
      </c>
      <c r="B39" s="28">
        <v>71</v>
      </c>
      <c r="C39" s="28">
        <v>94</v>
      </c>
      <c r="D39" s="28">
        <v>53</v>
      </c>
      <c r="E39" s="106" t="s">
        <v>663</v>
      </c>
      <c r="F39" s="29"/>
      <c r="G39" s="115" t="s">
        <v>355</v>
      </c>
      <c r="H39" s="15"/>
      <c r="I39" s="208">
        <v>28800000</v>
      </c>
      <c r="J39" s="268">
        <v>28800000</v>
      </c>
      <c r="K39" s="112">
        <f t="shared" si="0"/>
        <v>0</v>
      </c>
    </row>
    <row r="40" spans="1:11" ht="15">
      <c r="A40" s="110">
        <v>44203</v>
      </c>
      <c r="B40" s="28">
        <v>64</v>
      </c>
      <c r="C40" s="28">
        <v>109</v>
      </c>
      <c r="D40" s="28">
        <v>54</v>
      </c>
      <c r="E40" s="106" t="s">
        <v>664</v>
      </c>
      <c r="F40" s="29"/>
      <c r="G40" s="115" t="s">
        <v>473</v>
      </c>
      <c r="H40" s="15"/>
      <c r="I40" s="208">
        <v>77000000</v>
      </c>
      <c r="J40" s="268">
        <v>77000000</v>
      </c>
      <c r="K40" s="112">
        <f t="shared" si="0"/>
        <v>0</v>
      </c>
    </row>
    <row r="41" spans="1:11" ht="15">
      <c r="A41" s="110">
        <v>44203</v>
      </c>
      <c r="B41" s="28">
        <v>65</v>
      </c>
      <c r="C41" s="28">
        <v>111</v>
      </c>
      <c r="D41" s="28">
        <v>55</v>
      </c>
      <c r="E41" s="106" t="s">
        <v>665</v>
      </c>
      <c r="F41" s="29"/>
      <c r="G41" s="115" t="s">
        <v>424</v>
      </c>
      <c r="H41" s="15"/>
      <c r="I41" s="208">
        <v>43200000</v>
      </c>
      <c r="J41" s="268">
        <v>43200000</v>
      </c>
      <c r="K41" s="112">
        <f t="shared" si="0"/>
        <v>0</v>
      </c>
    </row>
    <row r="42" spans="1:11" ht="15">
      <c r="A42" s="110">
        <v>44203</v>
      </c>
      <c r="B42" s="28">
        <v>66</v>
      </c>
      <c r="C42" s="28">
        <v>140</v>
      </c>
      <c r="D42" s="28">
        <v>56</v>
      </c>
      <c r="E42" s="106" t="s">
        <v>666</v>
      </c>
      <c r="F42" s="29"/>
      <c r="G42" s="115" t="s">
        <v>158</v>
      </c>
      <c r="H42" s="15"/>
      <c r="I42" s="208">
        <v>23347200</v>
      </c>
      <c r="J42" s="268">
        <v>23347200</v>
      </c>
      <c r="K42" s="112">
        <f t="shared" si="0"/>
        <v>0</v>
      </c>
    </row>
    <row r="43" spans="1:11" ht="15">
      <c r="A43" s="110">
        <v>44204</v>
      </c>
      <c r="B43" s="28">
        <v>12</v>
      </c>
      <c r="C43" s="28">
        <v>147</v>
      </c>
      <c r="D43" s="28">
        <v>57</v>
      </c>
      <c r="E43" s="106" t="s">
        <v>479</v>
      </c>
      <c r="F43" s="29"/>
      <c r="G43" s="115" t="s">
        <v>138</v>
      </c>
      <c r="H43" s="15"/>
      <c r="I43" s="208">
        <v>15804000</v>
      </c>
      <c r="J43" s="268">
        <v>15804000</v>
      </c>
      <c r="K43" s="112">
        <f t="shared" si="0"/>
        <v>0</v>
      </c>
    </row>
    <row r="44" spans="1:11" ht="15">
      <c r="A44" s="110">
        <v>44204</v>
      </c>
      <c r="B44" s="28">
        <v>70</v>
      </c>
      <c r="C44" s="28">
        <v>22</v>
      </c>
      <c r="D44" s="28">
        <v>58</v>
      </c>
      <c r="E44" s="106" t="s">
        <v>667</v>
      </c>
      <c r="F44" s="29"/>
      <c r="G44" s="115" t="s">
        <v>469</v>
      </c>
      <c r="H44" s="15"/>
      <c r="I44" s="208">
        <v>30720000</v>
      </c>
      <c r="J44" s="268">
        <v>30720000</v>
      </c>
      <c r="K44" s="112">
        <f t="shared" si="0"/>
        <v>0</v>
      </c>
    </row>
    <row r="45" spans="1:11" ht="15">
      <c r="A45" s="110">
        <v>44204</v>
      </c>
      <c r="B45" s="28">
        <v>81</v>
      </c>
      <c r="C45" s="28">
        <v>127</v>
      </c>
      <c r="D45" s="28">
        <v>61</v>
      </c>
      <c r="E45" s="106" t="s">
        <v>668</v>
      </c>
      <c r="F45" s="29"/>
      <c r="G45" s="115" t="s">
        <v>50</v>
      </c>
      <c r="H45" s="15"/>
      <c r="I45" s="208">
        <v>41779200</v>
      </c>
      <c r="J45" s="268">
        <v>41779200</v>
      </c>
      <c r="K45" s="112">
        <f t="shared" si="0"/>
        <v>0</v>
      </c>
    </row>
    <row r="46" spans="1:11" ht="15">
      <c r="A46" s="110">
        <v>44204</v>
      </c>
      <c r="B46" s="28">
        <v>73</v>
      </c>
      <c r="C46" s="28">
        <v>144</v>
      </c>
      <c r="D46" s="28">
        <v>65</v>
      </c>
      <c r="E46" s="106" t="s">
        <v>669</v>
      </c>
      <c r="F46" s="29"/>
      <c r="G46" s="115" t="s">
        <v>605</v>
      </c>
      <c r="H46" s="15"/>
      <c r="I46" s="208">
        <v>30000000</v>
      </c>
      <c r="J46" s="268">
        <v>30000000</v>
      </c>
      <c r="K46" s="112">
        <f t="shared" si="0"/>
        <v>0</v>
      </c>
    </row>
    <row r="47" spans="1:11" ht="15">
      <c r="A47" s="110">
        <v>44204</v>
      </c>
      <c r="B47" s="28">
        <v>76</v>
      </c>
      <c r="C47" s="28">
        <v>75</v>
      </c>
      <c r="D47" s="28">
        <v>66</v>
      </c>
      <c r="E47" s="106" t="s">
        <v>655</v>
      </c>
      <c r="F47" s="29"/>
      <c r="G47" s="115" t="s">
        <v>139</v>
      </c>
      <c r="H47" s="15"/>
      <c r="I47" s="208">
        <v>56320000</v>
      </c>
      <c r="J47" s="268">
        <v>56320000</v>
      </c>
      <c r="K47" s="112">
        <f t="shared" si="0"/>
        <v>0</v>
      </c>
    </row>
    <row r="48" spans="1:11" ht="15">
      <c r="A48" s="110">
        <v>44204</v>
      </c>
      <c r="B48" s="28">
        <v>72</v>
      </c>
      <c r="C48" s="28">
        <v>98</v>
      </c>
      <c r="D48" s="28">
        <v>67</v>
      </c>
      <c r="E48" s="106" t="s">
        <v>655</v>
      </c>
      <c r="F48" s="29"/>
      <c r="G48" s="115" t="s">
        <v>185</v>
      </c>
      <c r="H48" s="15"/>
      <c r="I48" s="208">
        <v>56320000</v>
      </c>
      <c r="J48" s="268">
        <v>56320000</v>
      </c>
      <c r="K48" s="112">
        <f t="shared" si="0"/>
        <v>0</v>
      </c>
    </row>
    <row r="49" spans="1:11" ht="15">
      <c r="A49" s="110">
        <v>44204</v>
      </c>
      <c r="B49" s="28">
        <v>74</v>
      </c>
      <c r="C49" s="28">
        <v>125</v>
      </c>
      <c r="D49" s="28">
        <v>69</v>
      </c>
      <c r="E49" s="106" t="s">
        <v>670</v>
      </c>
      <c r="F49" s="29"/>
      <c r="G49" s="115" t="s">
        <v>228</v>
      </c>
      <c r="H49" s="15"/>
      <c r="I49" s="208">
        <v>45465600</v>
      </c>
      <c r="J49" s="268">
        <v>45465600</v>
      </c>
      <c r="K49" s="112">
        <f t="shared" si="0"/>
        <v>0</v>
      </c>
    </row>
    <row r="50" spans="1:11" ht="15">
      <c r="A50" s="110">
        <v>44204</v>
      </c>
      <c r="B50" s="28">
        <v>75</v>
      </c>
      <c r="C50" s="28">
        <v>65</v>
      </c>
      <c r="D50" s="28">
        <v>70</v>
      </c>
      <c r="E50" s="106" t="s">
        <v>671</v>
      </c>
      <c r="F50" s="29"/>
      <c r="G50" s="115" t="s">
        <v>336</v>
      </c>
      <c r="H50" s="15"/>
      <c r="I50" s="208">
        <v>46354000</v>
      </c>
      <c r="J50" s="268">
        <v>46354000</v>
      </c>
      <c r="K50" s="112">
        <f t="shared" si="0"/>
        <v>0</v>
      </c>
    </row>
    <row r="51" spans="1:11" ht="15">
      <c r="A51" s="110">
        <v>44204</v>
      </c>
      <c r="B51" s="28">
        <v>92</v>
      </c>
      <c r="C51" s="28">
        <v>174</v>
      </c>
      <c r="D51" s="28">
        <v>71</v>
      </c>
      <c r="E51" s="106" t="s">
        <v>672</v>
      </c>
      <c r="F51" s="29"/>
      <c r="G51" s="115" t="s">
        <v>67</v>
      </c>
      <c r="H51" s="15"/>
      <c r="I51" s="208">
        <v>99000000</v>
      </c>
      <c r="J51" s="268">
        <v>99000000</v>
      </c>
      <c r="K51" s="112">
        <f t="shared" si="0"/>
        <v>0</v>
      </c>
    </row>
    <row r="52" spans="1:11" ht="15">
      <c r="A52" s="110">
        <v>44205</v>
      </c>
      <c r="B52" s="28">
        <v>67</v>
      </c>
      <c r="C52" s="28">
        <v>130</v>
      </c>
      <c r="D52" s="28">
        <v>73</v>
      </c>
      <c r="E52" s="106" t="s">
        <v>673</v>
      </c>
      <c r="F52" s="29"/>
      <c r="G52" s="115" t="s">
        <v>331</v>
      </c>
      <c r="H52" s="15"/>
      <c r="I52" s="208">
        <v>35328000</v>
      </c>
      <c r="J52" s="268">
        <v>35328000</v>
      </c>
      <c r="K52" s="112">
        <f t="shared" si="0"/>
        <v>0</v>
      </c>
    </row>
    <row r="53" spans="1:11" ht="15">
      <c r="A53" s="110">
        <v>44205</v>
      </c>
      <c r="B53" s="28">
        <v>10</v>
      </c>
      <c r="C53" s="28">
        <v>149</v>
      </c>
      <c r="D53" s="28">
        <v>74</v>
      </c>
      <c r="E53" s="106" t="s">
        <v>479</v>
      </c>
      <c r="F53" s="29"/>
      <c r="G53" s="115" t="s">
        <v>134</v>
      </c>
      <c r="H53" s="15"/>
      <c r="I53" s="208">
        <v>15804000</v>
      </c>
      <c r="J53" s="268">
        <v>15804000</v>
      </c>
      <c r="K53" s="112">
        <f t="shared" si="0"/>
        <v>0</v>
      </c>
    </row>
    <row r="54" spans="1:11" ht="15">
      <c r="A54" s="110">
        <v>44205</v>
      </c>
      <c r="B54" s="28">
        <v>84</v>
      </c>
      <c r="C54" s="28">
        <v>156</v>
      </c>
      <c r="D54" s="28">
        <v>75</v>
      </c>
      <c r="E54" s="106" t="s">
        <v>479</v>
      </c>
      <c r="F54" s="29"/>
      <c r="G54" s="115" t="s">
        <v>477</v>
      </c>
      <c r="H54" s="15"/>
      <c r="I54" s="208">
        <v>15804000</v>
      </c>
      <c r="J54" s="268">
        <v>15804000</v>
      </c>
      <c r="K54" s="112">
        <f t="shared" si="0"/>
        <v>0</v>
      </c>
    </row>
    <row r="55" spans="1:11" ht="15">
      <c r="A55" s="110">
        <v>44205</v>
      </c>
      <c r="B55" s="28">
        <v>85</v>
      </c>
      <c r="C55" s="28">
        <v>157</v>
      </c>
      <c r="D55" s="28">
        <v>76</v>
      </c>
      <c r="E55" s="106" t="s">
        <v>479</v>
      </c>
      <c r="F55" s="29"/>
      <c r="G55" s="115" t="s">
        <v>356</v>
      </c>
      <c r="H55" s="15"/>
      <c r="I55" s="208">
        <v>15804000</v>
      </c>
      <c r="J55" s="268">
        <v>15804000</v>
      </c>
      <c r="K55" s="112">
        <f t="shared" si="0"/>
        <v>0</v>
      </c>
    </row>
    <row r="56" spans="1:11" ht="15">
      <c r="A56" s="110">
        <v>44205</v>
      </c>
      <c r="B56" s="28">
        <v>99</v>
      </c>
      <c r="C56" s="28">
        <v>148</v>
      </c>
      <c r="D56" s="28">
        <v>77</v>
      </c>
      <c r="E56" s="106" t="s">
        <v>479</v>
      </c>
      <c r="F56" s="29"/>
      <c r="G56" s="115" t="s">
        <v>183</v>
      </c>
      <c r="H56" s="15"/>
      <c r="I56" s="208">
        <v>15804000</v>
      </c>
      <c r="J56" s="268">
        <v>15804000</v>
      </c>
      <c r="K56" s="112">
        <f t="shared" si="0"/>
        <v>0</v>
      </c>
    </row>
    <row r="57" spans="1:11" ht="15">
      <c r="A57" s="110">
        <v>44205</v>
      </c>
      <c r="B57" s="28">
        <v>98</v>
      </c>
      <c r="C57" s="28">
        <v>151</v>
      </c>
      <c r="D57" s="28">
        <v>78</v>
      </c>
      <c r="E57" s="106" t="s">
        <v>479</v>
      </c>
      <c r="F57" s="29"/>
      <c r="G57" s="115" t="s">
        <v>184</v>
      </c>
      <c r="H57" s="15"/>
      <c r="I57" s="208">
        <v>15804000</v>
      </c>
      <c r="J57" s="268">
        <v>15804000</v>
      </c>
      <c r="K57" s="112">
        <f t="shared" si="0"/>
        <v>0</v>
      </c>
    </row>
    <row r="58" spans="1:11" ht="15">
      <c r="A58" s="110">
        <v>44205</v>
      </c>
      <c r="B58" s="28">
        <v>97</v>
      </c>
      <c r="C58" s="28">
        <v>150</v>
      </c>
      <c r="D58" s="28">
        <v>79</v>
      </c>
      <c r="E58" s="106" t="s">
        <v>479</v>
      </c>
      <c r="F58" s="29"/>
      <c r="G58" s="115" t="s">
        <v>135</v>
      </c>
      <c r="H58" s="15"/>
      <c r="I58" s="208">
        <v>15804000</v>
      </c>
      <c r="J58" s="268">
        <v>15804000</v>
      </c>
      <c r="K58" s="112">
        <f t="shared" si="0"/>
        <v>0</v>
      </c>
    </row>
    <row r="59" spans="1:11" ht="15">
      <c r="A59" s="110">
        <v>44205</v>
      </c>
      <c r="B59" s="28">
        <v>91</v>
      </c>
      <c r="C59" s="28">
        <v>153</v>
      </c>
      <c r="D59" s="28">
        <v>80</v>
      </c>
      <c r="E59" s="106" t="s">
        <v>479</v>
      </c>
      <c r="F59" s="29"/>
      <c r="G59" s="115" t="s">
        <v>387</v>
      </c>
      <c r="H59" s="15"/>
      <c r="I59" s="208">
        <v>15804000</v>
      </c>
      <c r="J59" s="268">
        <v>15804000</v>
      </c>
      <c r="K59" s="112">
        <f t="shared" si="0"/>
        <v>0</v>
      </c>
    </row>
    <row r="60" spans="1:11" ht="15">
      <c r="A60" s="110">
        <v>44205</v>
      </c>
      <c r="B60" s="28">
        <v>89</v>
      </c>
      <c r="C60" s="28">
        <v>154</v>
      </c>
      <c r="D60" s="28">
        <v>81</v>
      </c>
      <c r="E60" s="106" t="s">
        <v>479</v>
      </c>
      <c r="F60" s="29"/>
      <c r="G60" s="115" t="s">
        <v>122</v>
      </c>
      <c r="H60" s="15"/>
      <c r="I60" s="208">
        <v>15804000</v>
      </c>
      <c r="J60" s="268">
        <v>15804000</v>
      </c>
      <c r="K60" s="112">
        <f t="shared" si="0"/>
        <v>0</v>
      </c>
    </row>
    <row r="61" spans="1:11" ht="15">
      <c r="A61" s="110">
        <v>44205</v>
      </c>
      <c r="B61" s="28">
        <v>90</v>
      </c>
      <c r="C61" s="28">
        <v>152</v>
      </c>
      <c r="D61" s="28">
        <v>82</v>
      </c>
      <c r="E61" s="106" t="s">
        <v>479</v>
      </c>
      <c r="F61" s="29"/>
      <c r="G61" s="115" t="s">
        <v>132</v>
      </c>
      <c r="H61" s="15"/>
      <c r="I61" s="208">
        <v>15804000</v>
      </c>
      <c r="J61" s="268">
        <v>15804000</v>
      </c>
      <c r="K61" s="112">
        <f t="shared" si="0"/>
        <v>0</v>
      </c>
    </row>
    <row r="62" spans="1:11" ht="15">
      <c r="A62" s="110">
        <v>44205</v>
      </c>
      <c r="B62" s="28">
        <v>88</v>
      </c>
      <c r="C62" s="28">
        <v>155</v>
      </c>
      <c r="D62" s="28">
        <v>83</v>
      </c>
      <c r="E62" s="106" t="s">
        <v>479</v>
      </c>
      <c r="F62" s="29"/>
      <c r="G62" s="115" t="s">
        <v>58</v>
      </c>
      <c r="H62" s="15"/>
      <c r="I62" s="208">
        <v>15804000</v>
      </c>
      <c r="J62" s="268">
        <v>15804000</v>
      </c>
      <c r="K62" s="112">
        <f t="shared" si="0"/>
        <v>0</v>
      </c>
    </row>
    <row r="63" spans="1:11" ht="15">
      <c r="A63" s="110">
        <v>44208</v>
      </c>
      <c r="B63" s="28">
        <v>111</v>
      </c>
      <c r="C63" s="28">
        <v>146</v>
      </c>
      <c r="D63" s="28">
        <v>87</v>
      </c>
      <c r="E63" s="106" t="s">
        <v>674</v>
      </c>
      <c r="F63" s="29"/>
      <c r="G63" s="115" t="s">
        <v>175</v>
      </c>
      <c r="H63" s="15"/>
      <c r="I63" s="208">
        <v>60500000</v>
      </c>
      <c r="J63" s="268">
        <v>60500000</v>
      </c>
      <c r="K63" s="112">
        <f t="shared" si="0"/>
        <v>0</v>
      </c>
    </row>
    <row r="64" spans="1:11" ht="15">
      <c r="A64" s="110">
        <v>44208</v>
      </c>
      <c r="B64" s="28">
        <v>94</v>
      </c>
      <c r="C64" s="28">
        <v>142</v>
      </c>
      <c r="D64" s="28">
        <v>93</v>
      </c>
      <c r="E64" s="106" t="s">
        <v>675</v>
      </c>
      <c r="F64" s="29"/>
      <c r="G64" s="115" t="s">
        <v>79</v>
      </c>
      <c r="H64" s="15"/>
      <c r="I64" s="208">
        <v>18000000</v>
      </c>
      <c r="J64" s="268">
        <v>18000000</v>
      </c>
      <c r="K64" s="112">
        <f t="shared" si="0"/>
        <v>0</v>
      </c>
    </row>
    <row r="65" spans="1:11" ht="15">
      <c r="A65" s="110">
        <v>44208</v>
      </c>
      <c r="B65" s="28">
        <v>112</v>
      </c>
      <c r="C65" s="28">
        <v>110</v>
      </c>
      <c r="D65" s="28">
        <v>94</v>
      </c>
      <c r="E65" s="106" t="s">
        <v>675</v>
      </c>
      <c r="F65" s="29"/>
      <c r="G65" s="115" t="s">
        <v>475</v>
      </c>
      <c r="H65" s="15"/>
      <c r="I65" s="208">
        <v>71500000</v>
      </c>
      <c r="J65" s="268">
        <v>71500000</v>
      </c>
      <c r="K65" s="112">
        <f t="shared" si="0"/>
        <v>0</v>
      </c>
    </row>
    <row r="66" spans="1:11" ht="15">
      <c r="A66" s="110">
        <v>44208</v>
      </c>
      <c r="B66" s="28">
        <v>93</v>
      </c>
      <c r="C66" s="28">
        <v>143</v>
      </c>
      <c r="D66" s="28">
        <v>99</v>
      </c>
      <c r="E66" s="106" t="s">
        <v>675</v>
      </c>
      <c r="F66" s="29"/>
      <c r="G66" s="115" t="s">
        <v>606</v>
      </c>
      <c r="H66" s="15"/>
      <c r="I66" s="208">
        <f>93500000-69416667</f>
        <v>24083333</v>
      </c>
      <c r="J66" s="268">
        <v>24083333</v>
      </c>
      <c r="K66" s="112">
        <f t="shared" si="0"/>
        <v>0</v>
      </c>
    </row>
    <row r="67" spans="1:11" ht="15">
      <c r="A67" s="110">
        <v>44208</v>
      </c>
      <c r="B67" s="28">
        <v>110</v>
      </c>
      <c r="C67" s="28">
        <v>137</v>
      </c>
      <c r="D67" s="28">
        <v>100</v>
      </c>
      <c r="E67" s="106" t="s">
        <v>676</v>
      </c>
      <c r="F67" s="29"/>
      <c r="G67" s="115" t="s">
        <v>186</v>
      </c>
      <c r="H67" s="15"/>
      <c r="I67" s="208">
        <f>73216000-42598400</f>
        <v>30617600</v>
      </c>
      <c r="J67" s="268">
        <v>30617600</v>
      </c>
      <c r="K67" s="112">
        <f t="shared" si="0"/>
        <v>0</v>
      </c>
    </row>
    <row r="68" spans="1:11" ht="15">
      <c r="A68" s="110">
        <v>44208</v>
      </c>
      <c r="B68" s="28">
        <v>114</v>
      </c>
      <c r="C68" s="28">
        <v>164</v>
      </c>
      <c r="D68" s="28">
        <v>101</v>
      </c>
      <c r="E68" s="116" t="s">
        <v>677</v>
      </c>
      <c r="F68" s="29"/>
      <c r="G68" s="115" t="s">
        <v>103</v>
      </c>
      <c r="H68" s="15"/>
      <c r="I68" s="208">
        <v>101500000</v>
      </c>
      <c r="J68" s="268">
        <v>100630000</v>
      </c>
      <c r="K68" s="112">
        <f t="shared" si="0"/>
        <v>870000</v>
      </c>
    </row>
    <row r="69" spans="1:11" ht="15">
      <c r="A69" s="110">
        <v>44208</v>
      </c>
      <c r="B69" s="28">
        <v>115</v>
      </c>
      <c r="C69" s="28">
        <v>181</v>
      </c>
      <c r="D69" s="28">
        <v>104</v>
      </c>
      <c r="E69" s="116" t="s">
        <v>678</v>
      </c>
      <c r="F69" s="29"/>
      <c r="G69" s="115" t="s">
        <v>140</v>
      </c>
      <c r="H69" s="15"/>
      <c r="I69" s="208">
        <v>15360000</v>
      </c>
      <c r="J69" s="268">
        <v>15360000</v>
      </c>
      <c r="K69" s="112">
        <f t="shared" si="0"/>
        <v>0</v>
      </c>
    </row>
    <row r="70" spans="1:11" ht="15">
      <c r="A70" s="110">
        <v>44208</v>
      </c>
      <c r="B70" s="28">
        <v>116</v>
      </c>
      <c r="C70" s="28">
        <v>180</v>
      </c>
      <c r="D70" s="28">
        <v>107</v>
      </c>
      <c r="E70" s="116" t="s">
        <v>679</v>
      </c>
      <c r="F70" s="29"/>
      <c r="G70" s="115" t="s">
        <v>364</v>
      </c>
      <c r="H70" s="15"/>
      <c r="I70" s="208">
        <v>84480000</v>
      </c>
      <c r="J70" s="268">
        <v>84480000</v>
      </c>
      <c r="K70" s="112">
        <f t="shared" si="0"/>
        <v>0</v>
      </c>
    </row>
    <row r="71" spans="1:11" ht="15">
      <c r="A71" s="110">
        <v>44208</v>
      </c>
      <c r="B71" s="28">
        <v>117</v>
      </c>
      <c r="C71" s="28">
        <v>101</v>
      </c>
      <c r="D71" s="28">
        <v>108</v>
      </c>
      <c r="E71" s="116" t="s">
        <v>680</v>
      </c>
      <c r="F71" s="29"/>
      <c r="G71" s="115" t="s">
        <v>390</v>
      </c>
      <c r="H71" s="15"/>
      <c r="I71" s="208">
        <v>30720000</v>
      </c>
      <c r="J71" s="268">
        <v>30720000</v>
      </c>
      <c r="K71" s="112">
        <f t="shared" si="0"/>
        <v>0</v>
      </c>
    </row>
    <row r="72" spans="1:11" ht="15">
      <c r="A72" s="110">
        <v>44208</v>
      </c>
      <c r="B72" s="28">
        <v>118</v>
      </c>
      <c r="C72" s="28">
        <v>176</v>
      </c>
      <c r="D72" s="28">
        <v>112</v>
      </c>
      <c r="E72" s="116" t="s">
        <v>681</v>
      </c>
      <c r="F72" s="29"/>
      <c r="G72" s="115" t="s">
        <v>102</v>
      </c>
      <c r="H72" s="15"/>
      <c r="I72" s="208">
        <v>15804000</v>
      </c>
      <c r="J72" s="268">
        <v>15804000</v>
      </c>
      <c r="K72" s="112">
        <f t="shared" si="0"/>
        <v>0</v>
      </c>
    </row>
    <row r="73" spans="1:11" ht="15">
      <c r="A73" s="110">
        <v>44208</v>
      </c>
      <c r="B73" s="28">
        <v>120</v>
      </c>
      <c r="C73" s="28">
        <v>175</v>
      </c>
      <c r="D73" s="28">
        <v>114</v>
      </c>
      <c r="E73" s="116" t="s">
        <v>682</v>
      </c>
      <c r="F73" s="29"/>
      <c r="G73" s="115" t="s">
        <v>192</v>
      </c>
      <c r="H73" s="15"/>
      <c r="I73" s="208">
        <f>28974000-27393600</f>
        <v>1580400</v>
      </c>
      <c r="J73" s="268">
        <v>1580400</v>
      </c>
      <c r="K73" s="112">
        <f t="shared" si="0"/>
        <v>0</v>
      </c>
    </row>
    <row r="74" spans="1:11" ht="15">
      <c r="A74" s="110">
        <v>44208</v>
      </c>
      <c r="B74" s="28">
        <v>125</v>
      </c>
      <c r="C74" s="28">
        <v>192</v>
      </c>
      <c r="D74" s="28">
        <v>115</v>
      </c>
      <c r="E74" s="116" t="s">
        <v>668</v>
      </c>
      <c r="F74" s="29"/>
      <c r="G74" s="115" t="s">
        <v>607</v>
      </c>
      <c r="H74" s="15"/>
      <c r="I74" s="208">
        <v>36000000</v>
      </c>
      <c r="J74" s="268">
        <v>36000000</v>
      </c>
      <c r="K74" s="112">
        <f t="shared" si="0"/>
        <v>0</v>
      </c>
    </row>
    <row r="75" spans="1:11" ht="15">
      <c r="A75" s="110">
        <v>44209</v>
      </c>
      <c r="B75" s="28">
        <v>129</v>
      </c>
      <c r="C75" s="28">
        <v>165</v>
      </c>
      <c r="D75" s="28">
        <v>118</v>
      </c>
      <c r="E75" s="116" t="s">
        <v>683</v>
      </c>
      <c r="F75" s="29"/>
      <c r="G75" s="115" t="s">
        <v>101</v>
      </c>
      <c r="H75" s="15"/>
      <c r="I75" s="208">
        <v>39936000</v>
      </c>
      <c r="J75" s="268">
        <v>39936000</v>
      </c>
      <c r="K75" s="112">
        <f t="shared" si="0"/>
        <v>0</v>
      </c>
    </row>
    <row r="76" spans="1:11" ht="15">
      <c r="A76" s="110">
        <v>44209</v>
      </c>
      <c r="B76" s="28">
        <v>133</v>
      </c>
      <c r="C76" s="28">
        <v>201</v>
      </c>
      <c r="D76" s="28">
        <v>119</v>
      </c>
      <c r="E76" s="116" t="s">
        <v>684</v>
      </c>
      <c r="F76" s="29"/>
      <c r="G76" s="115" t="s">
        <v>65</v>
      </c>
      <c r="H76" s="15"/>
      <c r="I76" s="208">
        <v>15000000</v>
      </c>
      <c r="J76" s="268">
        <v>15000000</v>
      </c>
      <c r="K76" s="112">
        <f t="shared" si="0"/>
        <v>0</v>
      </c>
    </row>
    <row r="77" spans="1:11" ht="15">
      <c r="A77" s="110">
        <v>44209</v>
      </c>
      <c r="B77" s="28">
        <v>113</v>
      </c>
      <c r="C77" s="28">
        <v>184</v>
      </c>
      <c r="D77" s="28">
        <v>120</v>
      </c>
      <c r="E77" s="116" t="s">
        <v>685</v>
      </c>
      <c r="F77" s="29"/>
      <c r="G77" s="115" t="s">
        <v>235</v>
      </c>
      <c r="H77" s="15"/>
      <c r="I77" s="208">
        <v>36864000</v>
      </c>
      <c r="J77" s="268">
        <v>36864000</v>
      </c>
      <c r="K77" s="112">
        <f t="shared" si="0"/>
        <v>0</v>
      </c>
    </row>
    <row r="78" spans="1:11" ht="15">
      <c r="A78" s="110">
        <v>44209</v>
      </c>
      <c r="B78" s="28">
        <v>135</v>
      </c>
      <c r="C78" s="28">
        <v>160</v>
      </c>
      <c r="D78" s="28">
        <v>122</v>
      </c>
      <c r="E78" s="116" t="s">
        <v>686</v>
      </c>
      <c r="F78" s="29"/>
      <c r="G78" s="115" t="s">
        <v>128</v>
      </c>
      <c r="H78" s="15"/>
      <c r="I78" s="208">
        <v>23100000</v>
      </c>
      <c r="J78" s="268">
        <v>23100000</v>
      </c>
      <c r="K78" s="112">
        <f t="shared" si="1" ref="K78:K141">+I78-J78</f>
        <v>0</v>
      </c>
    </row>
    <row r="79" spans="1:11" ht="15">
      <c r="A79" s="110">
        <v>44209</v>
      </c>
      <c r="B79" s="28">
        <v>140</v>
      </c>
      <c r="C79" s="28">
        <v>211</v>
      </c>
      <c r="D79" s="28">
        <v>123</v>
      </c>
      <c r="E79" s="116" t="s">
        <v>687</v>
      </c>
      <c r="F79" s="29"/>
      <c r="G79" s="115" t="s">
        <v>608</v>
      </c>
      <c r="H79" s="15"/>
      <c r="I79" s="208">
        <v>30000000</v>
      </c>
      <c r="J79" s="268">
        <v>30000000</v>
      </c>
      <c r="K79" s="112">
        <f t="shared" si="1"/>
        <v>0</v>
      </c>
    </row>
    <row r="80" spans="1:11" ht="15">
      <c r="A80" s="110">
        <v>44209</v>
      </c>
      <c r="B80" s="28">
        <v>136</v>
      </c>
      <c r="C80" s="28">
        <v>167</v>
      </c>
      <c r="D80" s="28">
        <v>124</v>
      </c>
      <c r="E80" s="116" t="s">
        <v>688</v>
      </c>
      <c r="F80" s="29"/>
      <c r="G80" s="115" t="s">
        <v>100</v>
      </c>
      <c r="H80" s="15"/>
      <c r="I80" s="208">
        <f>64166667-59583333</f>
        <v>4583334</v>
      </c>
      <c r="J80" s="268">
        <v>4583334</v>
      </c>
      <c r="K80" s="112">
        <f t="shared" si="1"/>
        <v>0</v>
      </c>
    </row>
    <row r="81" spans="1:11" ht="15">
      <c r="A81" s="110">
        <v>44209</v>
      </c>
      <c r="B81" s="28">
        <v>142</v>
      </c>
      <c r="C81" s="28">
        <v>214</v>
      </c>
      <c r="D81" s="28">
        <v>128</v>
      </c>
      <c r="E81" s="116" t="s">
        <v>478</v>
      </c>
      <c r="F81" s="29"/>
      <c r="G81" s="115" t="s">
        <v>474</v>
      </c>
      <c r="H81" s="15"/>
      <c r="I81" s="208">
        <v>69632000</v>
      </c>
      <c r="J81" s="268">
        <v>69632000</v>
      </c>
      <c r="K81" s="112">
        <f t="shared" si="1"/>
        <v>0</v>
      </c>
    </row>
    <row r="82" spans="1:11" ht="15">
      <c r="A82" s="110">
        <v>44209</v>
      </c>
      <c r="B82" s="28">
        <v>130</v>
      </c>
      <c r="C82" s="28">
        <v>193</v>
      </c>
      <c r="D82" s="28">
        <v>131</v>
      </c>
      <c r="E82" s="116" t="s">
        <v>689</v>
      </c>
      <c r="F82" s="29"/>
      <c r="G82" s="115" t="s">
        <v>329</v>
      </c>
      <c r="H82" s="15"/>
      <c r="I82" s="208">
        <v>15360000</v>
      </c>
      <c r="J82" s="268">
        <v>15360000</v>
      </c>
      <c r="K82" s="112">
        <f t="shared" si="1"/>
        <v>0</v>
      </c>
    </row>
    <row r="83" spans="1:11" ht="15">
      <c r="A83" s="110">
        <v>44209</v>
      </c>
      <c r="B83" s="28">
        <v>138</v>
      </c>
      <c r="C83" s="28">
        <v>199</v>
      </c>
      <c r="D83" s="28">
        <v>132</v>
      </c>
      <c r="E83" s="116" t="s">
        <v>690</v>
      </c>
      <c r="F83" s="29"/>
      <c r="G83" s="115" t="s">
        <v>60</v>
      </c>
      <c r="H83" s="15"/>
      <c r="I83" s="208">
        <v>43366400</v>
      </c>
      <c r="J83" s="268">
        <v>43366400</v>
      </c>
      <c r="K83" s="112">
        <f t="shared" si="1"/>
        <v>0</v>
      </c>
    </row>
    <row r="84" spans="1:11" ht="15">
      <c r="A84" s="110">
        <v>44209</v>
      </c>
      <c r="B84" s="28">
        <v>134</v>
      </c>
      <c r="C84" s="28">
        <v>132</v>
      </c>
      <c r="D84" s="28">
        <v>133</v>
      </c>
      <c r="E84" s="116" t="s">
        <v>691</v>
      </c>
      <c r="F84" s="29"/>
      <c r="G84" s="115" t="s">
        <v>68</v>
      </c>
      <c r="H84" s="15"/>
      <c r="I84" s="208">
        <v>26106000</v>
      </c>
      <c r="J84" s="268">
        <v>26106000</v>
      </c>
      <c r="K84" s="112">
        <f t="shared" si="1"/>
        <v>0</v>
      </c>
    </row>
    <row r="85" spans="1:11" ht="15">
      <c r="A85" s="110">
        <v>44209</v>
      </c>
      <c r="B85" s="28">
        <v>143</v>
      </c>
      <c r="C85" s="28">
        <v>131</v>
      </c>
      <c r="D85" s="28">
        <v>134</v>
      </c>
      <c r="E85" s="116" t="s">
        <v>692</v>
      </c>
      <c r="F85" s="29"/>
      <c r="G85" s="115" t="s">
        <v>53</v>
      </c>
      <c r="H85" s="15"/>
      <c r="I85" s="208">
        <f>34406400-29818880</f>
        <v>4587520</v>
      </c>
      <c r="J85" s="268">
        <v>4587520</v>
      </c>
      <c r="K85" s="112">
        <f t="shared" si="1"/>
        <v>0</v>
      </c>
    </row>
    <row r="86" spans="1:11" ht="15">
      <c r="A86" s="110">
        <v>44209</v>
      </c>
      <c r="B86" s="28">
        <v>147</v>
      </c>
      <c r="C86" s="28">
        <v>229</v>
      </c>
      <c r="D86" s="28">
        <v>135</v>
      </c>
      <c r="E86" s="116" t="s">
        <v>693</v>
      </c>
      <c r="F86" s="29"/>
      <c r="G86" s="115" t="s">
        <v>609</v>
      </c>
      <c r="H86" s="15"/>
      <c r="I86" s="208">
        <v>12902400</v>
      </c>
      <c r="J86" s="268">
        <v>12902400</v>
      </c>
      <c r="K86" s="112">
        <f t="shared" si="1"/>
        <v>0</v>
      </c>
    </row>
    <row r="87" spans="1:11" ht="15">
      <c r="A87" s="110">
        <v>44209</v>
      </c>
      <c r="B87" s="28">
        <v>124</v>
      </c>
      <c r="C87" s="28">
        <v>207</v>
      </c>
      <c r="D87" s="28">
        <v>137</v>
      </c>
      <c r="E87" s="116" t="s">
        <v>694</v>
      </c>
      <c r="F87" s="29"/>
      <c r="G87" s="115" t="s">
        <v>148</v>
      </c>
      <c r="H87" s="15"/>
      <c r="I87" s="208">
        <v>6144000</v>
      </c>
      <c r="J87" s="268">
        <v>6144000</v>
      </c>
      <c r="K87" s="112">
        <f t="shared" si="1"/>
        <v>0</v>
      </c>
    </row>
    <row r="88" spans="1:11" ht="15">
      <c r="A88" s="110">
        <v>44210</v>
      </c>
      <c r="B88" s="28">
        <v>128</v>
      </c>
      <c r="C88" s="28">
        <v>237</v>
      </c>
      <c r="D88" s="28">
        <v>138</v>
      </c>
      <c r="E88" s="116" t="s">
        <v>694</v>
      </c>
      <c r="F88" s="29"/>
      <c r="G88" s="115" t="s">
        <v>141</v>
      </c>
      <c r="H88" s="15"/>
      <c r="I88" s="208">
        <v>6144000</v>
      </c>
      <c r="J88" s="268">
        <v>6144000</v>
      </c>
      <c r="K88" s="112">
        <f t="shared" si="1"/>
        <v>0</v>
      </c>
    </row>
    <row r="89" spans="1:11" ht="15">
      <c r="A89" s="110">
        <v>44210</v>
      </c>
      <c r="B89" s="28">
        <v>127</v>
      </c>
      <c r="C89" s="28">
        <v>228</v>
      </c>
      <c r="D89" s="28">
        <v>142</v>
      </c>
      <c r="E89" s="116" t="s">
        <v>694</v>
      </c>
      <c r="F89" s="29"/>
      <c r="G89" s="115" t="s">
        <v>328</v>
      </c>
      <c r="H89" s="15"/>
      <c r="I89" s="208">
        <v>6144000</v>
      </c>
      <c r="J89" s="268">
        <v>6144000</v>
      </c>
      <c r="K89" s="112">
        <f t="shared" si="1"/>
        <v>0</v>
      </c>
    </row>
    <row r="90" spans="1:11" ht="15">
      <c r="A90" s="110">
        <v>44210</v>
      </c>
      <c r="B90" s="28">
        <v>123</v>
      </c>
      <c r="C90" s="28">
        <v>250</v>
      </c>
      <c r="D90" s="28">
        <v>143</v>
      </c>
      <c r="E90" s="116" t="s">
        <v>695</v>
      </c>
      <c r="F90" s="29"/>
      <c r="G90" s="115" t="s">
        <v>610</v>
      </c>
      <c r="H90" s="15"/>
      <c r="I90" s="208">
        <v>18432000</v>
      </c>
      <c r="J90" s="268">
        <v>18432000</v>
      </c>
      <c r="K90" s="112">
        <f t="shared" si="1"/>
        <v>0</v>
      </c>
    </row>
    <row r="91" spans="1:11" ht="15">
      <c r="A91" s="110">
        <v>44210</v>
      </c>
      <c r="B91" s="28">
        <v>156</v>
      </c>
      <c r="C91" s="28">
        <v>254</v>
      </c>
      <c r="D91" s="28">
        <v>144</v>
      </c>
      <c r="E91" s="116" t="s">
        <v>694</v>
      </c>
      <c r="F91" s="29"/>
      <c r="G91" s="115" t="s">
        <v>155</v>
      </c>
      <c r="H91" s="15"/>
      <c r="I91" s="208">
        <v>6144000</v>
      </c>
      <c r="J91" s="268">
        <v>6144000</v>
      </c>
      <c r="K91" s="112">
        <f t="shared" si="1"/>
        <v>0</v>
      </c>
    </row>
    <row r="92" spans="1:11" ht="15">
      <c r="A92" s="110">
        <v>44210</v>
      </c>
      <c r="B92" s="28">
        <v>160</v>
      </c>
      <c r="C92" s="28">
        <v>233</v>
      </c>
      <c r="D92" s="28">
        <v>145</v>
      </c>
      <c r="E92" s="116" t="s">
        <v>696</v>
      </c>
      <c r="F92" s="29"/>
      <c r="G92" s="115" t="s">
        <v>389</v>
      </c>
      <c r="H92" s="15"/>
      <c r="I92" s="208">
        <v>29491200</v>
      </c>
      <c r="J92" s="268">
        <v>29491200</v>
      </c>
      <c r="K92" s="112">
        <f t="shared" si="1"/>
        <v>0</v>
      </c>
    </row>
    <row r="93" spans="1:11" ht="15">
      <c r="A93" s="110">
        <v>44210</v>
      </c>
      <c r="B93" s="28">
        <v>148</v>
      </c>
      <c r="C93" s="28">
        <v>194</v>
      </c>
      <c r="D93" s="28">
        <v>146</v>
      </c>
      <c r="E93" s="116" t="s">
        <v>697</v>
      </c>
      <c r="F93" s="29"/>
      <c r="G93" s="115" t="s">
        <v>365</v>
      </c>
      <c r="H93" s="15"/>
      <c r="I93" s="208">
        <v>15360000</v>
      </c>
      <c r="J93" s="268">
        <v>15360000</v>
      </c>
      <c r="K93" s="112">
        <f t="shared" si="1"/>
        <v>0</v>
      </c>
    </row>
    <row r="94" spans="1:11" ht="15">
      <c r="A94" s="110">
        <v>44210</v>
      </c>
      <c r="B94" s="28">
        <v>154</v>
      </c>
      <c r="C94" s="28">
        <v>195</v>
      </c>
      <c r="D94" s="28">
        <v>147</v>
      </c>
      <c r="E94" s="116" t="s">
        <v>698</v>
      </c>
      <c r="F94" s="29"/>
      <c r="G94" s="115" t="s">
        <v>357</v>
      </c>
      <c r="H94" s="15"/>
      <c r="I94" s="208">
        <v>30720000</v>
      </c>
      <c r="J94" s="268">
        <v>30720000</v>
      </c>
      <c r="K94" s="112">
        <f t="shared" si="1"/>
        <v>0</v>
      </c>
    </row>
    <row r="95" spans="1:11" ht="15">
      <c r="A95" s="110">
        <v>44210</v>
      </c>
      <c r="B95" s="28">
        <v>150</v>
      </c>
      <c r="C95" s="28">
        <v>196</v>
      </c>
      <c r="D95" s="28">
        <v>148</v>
      </c>
      <c r="E95" s="116" t="s">
        <v>699</v>
      </c>
      <c r="F95" s="29"/>
      <c r="G95" s="115" t="s">
        <v>227</v>
      </c>
      <c r="H95" s="15"/>
      <c r="I95" s="208">
        <v>33177600</v>
      </c>
      <c r="J95" s="268">
        <v>32440320</v>
      </c>
      <c r="K95" s="112">
        <f t="shared" si="1"/>
        <v>737280</v>
      </c>
    </row>
    <row r="96" spans="1:11" ht="15">
      <c r="A96" s="110">
        <v>44210</v>
      </c>
      <c r="B96" s="28">
        <v>149</v>
      </c>
      <c r="C96" s="28">
        <v>198</v>
      </c>
      <c r="D96" s="28">
        <v>149</v>
      </c>
      <c r="E96" s="116" t="s">
        <v>700</v>
      </c>
      <c r="F96" s="29"/>
      <c r="G96" s="115" t="s">
        <v>231</v>
      </c>
      <c r="H96" s="15"/>
      <c r="I96" s="208">
        <v>30720000</v>
      </c>
      <c r="J96" s="268">
        <v>30720000</v>
      </c>
      <c r="K96" s="112">
        <f t="shared" si="1"/>
        <v>0</v>
      </c>
    </row>
    <row r="97" spans="1:11" ht="15">
      <c r="A97" s="110">
        <v>44210</v>
      </c>
      <c r="B97" s="28">
        <v>161</v>
      </c>
      <c r="C97" s="28">
        <v>232</v>
      </c>
      <c r="D97" s="28">
        <v>150</v>
      </c>
      <c r="E97" s="116" t="s">
        <v>479</v>
      </c>
      <c r="F97" s="29"/>
      <c r="G97" s="115" t="s">
        <v>133</v>
      </c>
      <c r="H97" s="15"/>
      <c r="I97" s="208">
        <v>15804000</v>
      </c>
      <c r="J97" s="268">
        <v>15804000</v>
      </c>
      <c r="K97" s="112">
        <f t="shared" si="1"/>
        <v>0</v>
      </c>
    </row>
    <row r="98" spans="1:11" ht="15">
      <c r="A98" s="110">
        <v>44210</v>
      </c>
      <c r="B98" s="28">
        <v>162</v>
      </c>
      <c r="C98" s="28">
        <v>230</v>
      </c>
      <c r="D98" s="28">
        <v>151</v>
      </c>
      <c r="E98" s="116" t="s">
        <v>479</v>
      </c>
      <c r="F98" s="29"/>
      <c r="G98" s="115" t="s">
        <v>137</v>
      </c>
      <c r="H98" s="15"/>
      <c r="I98" s="208">
        <v>15804000</v>
      </c>
      <c r="J98" s="268">
        <v>15804000</v>
      </c>
      <c r="K98" s="112">
        <f t="shared" si="1"/>
        <v>0</v>
      </c>
    </row>
    <row r="99" spans="1:11" ht="15">
      <c r="A99" s="110">
        <v>44210</v>
      </c>
      <c r="B99" s="28">
        <v>163</v>
      </c>
      <c r="C99" s="28">
        <v>231</v>
      </c>
      <c r="D99" s="28">
        <v>152</v>
      </c>
      <c r="E99" s="116" t="s">
        <v>479</v>
      </c>
      <c r="F99" s="29"/>
      <c r="G99" s="115" t="s">
        <v>121</v>
      </c>
      <c r="H99" s="15"/>
      <c r="I99" s="208">
        <v>15804000</v>
      </c>
      <c r="J99" s="268">
        <v>15804000</v>
      </c>
      <c r="K99" s="112">
        <f t="shared" si="1"/>
        <v>0</v>
      </c>
    </row>
    <row r="100" spans="1:11" ht="15">
      <c r="A100" s="110">
        <v>44210</v>
      </c>
      <c r="B100" s="28">
        <v>157</v>
      </c>
      <c r="C100" s="28">
        <v>255</v>
      </c>
      <c r="D100" s="28">
        <v>153</v>
      </c>
      <c r="E100" s="116" t="s">
        <v>694</v>
      </c>
      <c r="F100" s="29"/>
      <c r="G100" s="115" t="s">
        <v>188</v>
      </c>
      <c r="H100" s="15"/>
      <c r="I100" s="208">
        <v>6144000</v>
      </c>
      <c r="J100" s="268">
        <v>6144000</v>
      </c>
      <c r="K100" s="112">
        <f t="shared" si="1"/>
        <v>0</v>
      </c>
    </row>
    <row r="101" spans="1:11" ht="15">
      <c r="A101" s="110">
        <v>44210</v>
      </c>
      <c r="B101" s="28">
        <v>158</v>
      </c>
      <c r="C101" s="28">
        <v>256</v>
      </c>
      <c r="D101" s="28">
        <v>154</v>
      </c>
      <c r="E101" s="116" t="s">
        <v>694</v>
      </c>
      <c r="F101" s="29"/>
      <c r="G101" s="115" t="s">
        <v>145</v>
      </c>
      <c r="H101" s="15"/>
      <c r="I101" s="208">
        <v>6144000</v>
      </c>
      <c r="J101" s="268">
        <v>6144000</v>
      </c>
      <c r="K101" s="112">
        <f t="shared" si="1"/>
        <v>0</v>
      </c>
    </row>
    <row r="102" spans="1:11" ht="15">
      <c r="A102" s="110">
        <v>44210</v>
      </c>
      <c r="B102" s="28">
        <v>151</v>
      </c>
      <c r="C102" s="28">
        <v>215</v>
      </c>
      <c r="D102" s="28">
        <v>156</v>
      </c>
      <c r="E102" s="116" t="s">
        <v>701</v>
      </c>
      <c r="F102" s="29"/>
      <c r="G102" s="115" t="s">
        <v>327</v>
      </c>
      <c r="H102" s="15"/>
      <c r="I102" s="208">
        <v>16281600</v>
      </c>
      <c r="J102" s="268">
        <v>16281600</v>
      </c>
      <c r="K102" s="112">
        <f t="shared" si="1"/>
        <v>0</v>
      </c>
    </row>
    <row r="103" spans="1:11" ht="15">
      <c r="A103" s="110">
        <v>44210</v>
      </c>
      <c r="B103" s="28">
        <v>152</v>
      </c>
      <c r="C103" s="28">
        <v>216</v>
      </c>
      <c r="D103" s="28">
        <v>157</v>
      </c>
      <c r="E103" s="116" t="s">
        <v>702</v>
      </c>
      <c r="F103" s="29"/>
      <c r="G103" s="115" t="s">
        <v>330</v>
      </c>
      <c r="H103" s="15"/>
      <c r="I103" s="208">
        <v>27648000</v>
      </c>
      <c r="J103" s="268">
        <v>27648000</v>
      </c>
      <c r="K103" s="112">
        <f t="shared" si="1"/>
        <v>0</v>
      </c>
    </row>
    <row r="104" spans="1:11" ht="15">
      <c r="A104" s="110">
        <v>44210</v>
      </c>
      <c r="B104" s="28">
        <v>164</v>
      </c>
      <c r="C104" s="28">
        <v>236</v>
      </c>
      <c r="D104" s="28">
        <v>158</v>
      </c>
      <c r="E104" s="116" t="s">
        <v>703</v>
      </c>
      <c r="F104" s="29"/>
      <c r="G104" s="115" t="s">
        <v>59</v>
      </c>
      <c r="H104" s="15"/>
      <c r="I104" s="208">
        <v>63078400</v>
      </c>
      <c r="J104" s="268">
        <v>63078400</v>
      </c>
      <c r="K104" s="112">
        <f t="shared" si="1"/>
        <v>0</v>
      </c>
    </row>
    <row r="105" spans="1:11" ht="15">
      <c r="A105" s="110">
        <v>44210</v>
      </c>
      <c r="B105" s="28">
        <v>159</v>
      </c>
      <c r="C105" s="28">
        <v>257</v>
      </c>
      <c r="D105" s="28">
        <v>159</v>
      </c>
      <c r="E105" s="116" t="s">
        <v>694</v>
      </c>
      <c r="F105" s="29"/>
      <c r="G105" s="115" t="s">
        <v>151</v>
      </c>
      <c r="H105" s="15"/>
      <c r="I105" s="208">
        <v>6144000</v>
      </c>
      <c r="J105" s="268">
        <v>6144000</v>
      </c>
      <c r="K105" s="112">
        <f t="shared" si="1"/>
        <v>0</v>
      </c>
    </row>
    <row r="106" spans="1:11" ht="15">
      <c r="A106" s="110">
        <v>44210</v>
      </c>
      <c r="B106" s="28">
        <v>170</v>
      </c>
      <c r="C106" s="28">
        <v>166</v>
      </c>
      <c r="D106" s="28">
        <v>161</v>
      </c>
      <c r="E106" s="116" t="s">
        <v>704</v>
      </c>
      <c r="F106" s="29"/>
      <c r="G106" s="115" t="s">
        <v>415</v>
      </c>
      <c r="H106" s="15"/>
      <c r="I106" s="208">
        <v>30720000</v>
      </c>
      <c r="J106" s="268">
        <v>30720000</v>
      </c>
      <c r="K106" s="112">
        <f t="shared" si="1"/>
        <v>0</v>
      </c>
    </row>
    <row r="107" spans="1:11" ht="15">
      <c r="A107" s="110">
        <v>44211</v>
      </c>
      <c r="B107" s="28">
        <v>166</v>
      </c>
      <c r="C107" s="28">
        <v>222</v>
      </c>
      <c r="D107" s="28">
        <v>165</v>
      </c>
      <c r="E107" s="116" t="s">
        <v>705</v>
      </c>
      <c r="F107" s="29"/>
      <c r="G107" s="115" t="s">
        <v>325</v>
      </c>
      <c r="H107" s="15"/>
      <c r="I107" s="208">
        <v>78848000</v>
      </c>
      <c r="J107" s="268">
        <v>78848000</v>
      </c>
      <c r="K107" s="112">
        <f t="shared" si="1"/>
        <v>0</v>
      </c>
    </row>
    <row r="108" spans="1:11" ht="15">
      <c r="A108" s="110">
        <v>44211</v>
      </c>
      <c r="B108" s="28">
        <v>167</v>
      </c>
      <c r="C108" s="28">
        <v>223</v>
      </c>
      <c r="D108" s="28">
        <v>166</v>
      </c>
      <c r="E108" s="116" t="s">
        <v>705</v>
      </c>
      <c r="F108" s="29"/>
      <c r="G108" s="115" t="s">
        <v>296</v>
      </c>
      <c r="H108" s="15"/>
      <c r="I108" s="208">
        <v>42000000</v>
      </c>
      <c r="J108" s="268">
        <v>41999999</v>
      </c>
      <c r="K108" s="112">
        <f t="shared" si="1"/>
        <v>1</v>
      </c>
    </row>
    <row r="109" spans="1:11" ht="15">
      <c r="A109" s="110">
        <v>44211</v>
      </c>
      <c r="B109" s="28">
        <v>177</v>
      </c>
      <c r="C109" s="28">
        <v>202</v>
      </c>
      <c r="D109" s="28">
        <v>167</v>
      </c>
      <c r="E109" s="116" t="s">
        <v>706</v>
      </c>
      <c r="F109" s="29"/>
      <c r="G109" s="115" t="s">
        <v>147</v>
      </c>
      <c r="H109" s="15"/>
      <c r="I109" s="208">
        <v>36864000</v>
      </c>
      <c r="J109" s="268">
        <v>36864000</v>
      </c>
      <c r="K109" s="112">
        <f t="shared" si="1"/>
        <v>0</v>
      </c>
    </row>
    <row r="110" spans="1:11" ht="15">
      <c r="A110" s="110">
        <v>44211</v>
      </c>
      <c r="B110" s="28">
        <v>176</v>
      </c>
      <c r="C110" s="28">
        <v>224</v>
      </c>
      <c r="D110" s="28">
        <v>168</v>
      </c>
      <c r="E110" s="116" t="s">
        <v>707</v>
      </c>
      <c r="F110" s="29"/>
      <c r="G110" s="115" t="s">
        <v>299</v>
      </c>
      <c r="H110" s="15"/>
      <c r="I110" s="208">
        <v>36864000</v>
      </c>
      <c r="J110" s="268">
        <v>36864000</v>
      </c>
      <c r="K110" s="112">
        <f t="shared" si="1"/>
        <v>0</v>
      </c>
    </row>
    <row r="111" spans="1:11" ht="15">
      <c r="A111" s="110">
        <v>44211</v>
      </c>
      <c r="B111" s="28">
        <v>179</v>
      </c>
      <c r="C111" s="28">
        <v>225</v>
      </c>
      <c r="D111" s="28">
        <v>169</v>
      </c>
      <c r="E111" s="116" t="s">
        <v>708</v>
      </c>
      <c r="F111" s="29"/>
      <c r="G111" s="115" t="s">
        <v>300</v>
      </c>
      <c r="H111" s="15"/>
      <c r="I111" s="208">
        <v>36864000</v>
      </c>
      <c r="J111" s="268">
        <v>36864000</v>
      </c>
      <c r="K111" s="112">
        <f t="shared" si="1"/>
        <v>0</v>
      </c>
    </row>
    <row r="112" spans="1:11" ht="15">
      <c r="A112" s="110">
        <v>44211</v>
      </c>
      <c r="B112" s="28">
        <v>182</v>
      </c>
      <c r="C112" s="28">
        <v>227</v>
      </c>
      <c r="D112" s="28">
        <v>170</v>
      </c>
      <c r="E112" s="116" t="s">
        <v>709</v>
      </c>
      <c r="F112" s="29"/>
      <c r="G112" s="115" t="s">
        <v>143</v>
      </c>
      <c r="H112" s="15"/>
      <c r="I112" s="208">
        <v>56320000</v>
      </c>
      <c r="J112" s="268">
        <v>56320000</v>
      </c>
      <c r="K112" s="112">
        <f t="shared" si="1"/>
        <v>0</v>
      </c>
    </row>
    <row r="113" spans="1:11" ht="15">
      <c r="A113" s="110">
        <v>44211</v>
      </c>
      <c r="B113" s="28">
        <v>153</v>
      </c>
      <c r="C113" s="28">
        <v>252</v>
      </c>
      <c r="D113" s="28">
        <v>173</v>
      </c>
      <c r="E113" s="116" t="s">
        <v>710</v>
      </c>
      <c r="F113" s="29"/>
      <c r="G113" s="115" t="s">
        <v>611</v>
      </c>
      <c r="H113" s="15"/>
      <c r="I113" s="208">
        <v>9830400</v>
      </c>
      <c r="J113" s="268">
        <v>9830400</v>
      </c>
      <c r="K113" s="112">
        <f t="shared" si="1"/>
        <v>0</v>
      </c>
    </row>
    <row r="114" spans="1:11" ht="15">
      <c r="A114" s="110">
        <v>44211</v>
      </c>
      <c r="B114" s="28">
        <v>178</v>
      </c>
      <c r="C114" s="28">
        <v>203</v>
      </c>
      <c r="D114" s="28">
        <v>174</v>
      </c>
      <c r="E114" s="116" t="s">
        <v>707</v>
      </c>
      <c r="F114" s="29"/>
      <c r="G114" s="115" t="s">
        <v>298</v>
      </c>
      <c r="H114" s="15"/>
      <c r="I114" s="208">
        <v>36864000</v>
      </c>
      <c r="J114" s="268">
        <v>36864000</v>
      </c>
      <c r="K114" s="112">
        <f t="shared" si="1"/>
        <v>0</v>
      </c>
    </row>
    <row r="115" spans="1:11" ht="15">
      <c r="A115" s="110">
        <v>44211</v>
      </c>
      <c r="B115" s="28">
        <v>180</v>
      </c>
      <c r="C115" s="28">
        <v>204</v>
      </c>
      <c r="D115" s="28">
        <v>175</v>
      </c>
      <c r="E115" s="116" t="s">
        <v>707</v>
      </c>
      <c r="F115" s="29"/>
      <c r="G115" s="115" t="s">
        <v>354</v>
      </c>
      <c r="H115" s="15"/>
      <c r="I115" s="208">
        <v>33792000</v>
      </c>
      <c r="J115" s="268">
        <v>33792000</v>
      </c>
      <c r="K115" s="112">
        <f t="shared" si="1"/>
        <v>0</v>
      </c>
    </row>
    <row r="116" spans="1:11" ht="15">
      <c r="A116" s="110">
        <v>44211</v>
      </c>
      <c r="B116" s="28">
        <v>181</v>
      </c>
      <c r="C116" s="28">
        <v>205</v>
      </c>
      <c r="D116" s="28">
        <v>176</v>
      </c>
      <c r="E116" s="116" t="s">
        <v>711</v>
      </c>
      <c r="F116" s="29"/>
      <c r="G116" s="115" t="s">
        <v>612</v>
      </c>
      <c r="H116" s="15"/>
      <c r="I116" s="208">
        <v>15804000</v>
      </c>
      <c r="J116" s="268">
        <v>15804000</v>
      </c>
      <c r="K116" s="112">
        <f t="shared" si="1"/>
        <v>0</v>
      </c>
    </row>
    <row r="117" spans="1:11" ht="15">
      <c r="A117" s="110">
        <v>44211</v>
      </c>
      <c r="B117" s="28">
        <v>185</v>
      </c>
      <c r="C117" s="28">
        <v>273</v>
      </c>
      <c r="D117" s="28">
        <v>177</v>
      </c>
      <c r="E117" s="116" t="s">
        <v>712</v>
      </c>
      <c r="F117" s="29"/>
      <c r="G117" s="115" t="s">
        <v>66</v>
      </c>
      <c r="H117" s="15"/>
      <c r="I117" s="208">
        <f>54000000-31500000</f>
        <v>22500000</v>
      </c>
      <c r="J117" s="268">
        <v>22500000</v>
      </c>
      <c r="K117" s="112">
        <f t="shared" si="1"/>
        <v>0</v>
      </c>
    </row>
    <row r="118" spans="1:11" ht="15">
      <c r="A118" s="110">
        <v>44211</v>
      </c>
      <c r="B118" s="28">
        <v>186</v>
      </c>
      <c r="C118" s="28">
        <v>270</v>
      </c>
      <c r="D118" s="28">
        <v>178</v>
      </c>
      <c r="E118" s="116" t="s">
        <v>712</v>
      </c>
      <c r="F118" s="29"/>
      <c r="G118" s="115" t="s">
        <v>334</v>
      </c>
      <c r="H118" s="15"/>
      <c r="I118" s="208">
        <v>33792000</v>
      </c>
      <c r="J118" s="268">
        <v>33792000</v>
      </c>
      <c r="K118" s="112">
        <f t="shared" si="1"/>
        <v>0</v>
      </c>
    </row>
    <row r="119" spans="1:11" ht="15">
      <c r="A119" s="110">
        <v>44211</v>
      </c>
      <c r="B119" s="28">
        <v>126</v>
      </c>
      <c r="C119" s="28">
        <v>238</v>
      </c>
      <c r="D119" s="28">
        <v>179</v>
      </c>
      <c r="E119" s="116" t="s">
        <v>694</v>
      </c>
      <c r="F119" s="29"/>
      <c r="G119" s="115" t="s">
        <v>190</v>
      </c>
      <c r="H119" s="15"/>
      <c r="I119" s="208">
        <v>6144000</v>
      </c>
      <c r="J119" s="268">
        <v>6143999</v>
      </c>
      <c r="K119" s="112">
        <f t="shared" si="1"/>
        <v>1</v>
      </c>
    </row>
    <row r="120" spans="1:11" ht="15">
      <c r="A120" s="110">
        <v>44211</v>
      </c>
      <c r="B120" s="28">
        <v>173</v>
      </c>
      <c r="C120" s="28">
        <v>245</v>
      </c>
      <c r="D120" s="28">
        <v>180</v>
      </c>
      <c r="E120" s="116" t="s">
        <v>713</v>
      </c>
      <c r="F120" s="29"/>
      <c r="G120" s="115" t="s">
        <v>338</v>
      </c>
      <c r="H120" s="15"/>
      <c r="I120" s="208">
        <v>39936000</v>
      </c>
      <c r="J120" s="268">
        <v>39936000</v>
      </c>
      <c r="K120" s="112">
        <f t="shared" si="1"/>
        <v>0</v>
      </c>
    </row>
    <row r="121" spans="1:11" ht="15">
      <c r="A121" s="110">
        <v>44211</v>
      </c>
      <c r="B121" s="28">
        <v>191</v>
      </c>
      <c r="C121" s="28">
        <v>275</v>
      </c>
      <c r="D121" s="28">
        <v>181</v>
      </c>
      <c r="E121" s="116" t="s">
        <v>714</v>
      </c>
      <c r="F121" s="29"/>
      <c r="G121" s="115" t="s">
        <v>157</v>
      </c>
      <c r="H121" s="15"/>
      <c r="I121" s="208">
        <v>108900000</v>
      </c>
      <c r="J121" s="268">
        <v>108900000</v>
      </c>
      <c r="K121" s="112">
        <f t="shared" si="1"/>
        <v>0</v>
      </c>
    </row>
    <row r="122" spans="1:11" ht="15">
      <c r="A122" s="110">
        <v>44211</v>
      </c>
      <c r="B122" s="28">
        <v>192</v>
      </c>
      <c r="C122" s="28">
        <v>260</v>
      </c>
      <c r="D122" s="28">
        <v>182</v>
      </c>
      <c r="E122" s="116" t="s">
        <v>715</v>
      </c>
      <c r="F122" s="29"/>
      <c r="G122" s="115" t="s">
        <v>332</v>
      </c>
      <c r="H122" s="15"/>
      <c r="I122" s="208">
        <v>93500000</v>
      </c>
      <c r="J122" s="268">
        <v>93500000</v>
      </c>
      <c r="K122" s="112">
        <f t="shared" si="1"/>
        <v>0</v>
      </c>
    </row>
    <row r="123" spans="1:11" ht="15">
      <c r="A123" s="110">
        <v>44211</v>
      </c>
      <c r="B123" s="28">
        <v>190</v>
      </c>
      <c r="C123" s="28">
        <v>247</v>
      </c>
      <c r="D123" s="28">
        <v>184</v>
      </c>
      <c r="E123" s="116" t="s">
        <v>670</v>
      </c>
      <c r="F123" s="29"/>
      <c r="G123" s="115" t="s">
        <v>119</v>
      </c>
      <c r="H123" s="15"/>
      <c r="I123" s="208">
        <v>53452800</v>
      </c>
      <c r="J123" s="268">
        <v>53452800</v>
      </c>
      <c r="K123" s="112">
        <f t="shared" si="1"/>
        <v>0</v>
      </c>
    </row>
    <row r="124" spans="1:11" ht="15">
      <c r="A124" s="110">
        <v>44211</v>
      </c>
      <c r="B124" s="28">
        <v>183</v>
      </c>
      <c r="C124" s="28">
        <v>206</v>
      </c>
      <c r="D124" s="28">
        <v>185</v>
      </c>
      <c r="E124" s="116" t="s">
        <v>711</v>
      </c>
      <c r="F124" s="29"/>
      <c r="G124" s="115" t="s">
        <v>187</v>
      </c>
      <c r="H124" s="15"/>
      <c r="I124" s="208">
        <f>15360000-14506667</f>
        <v>853333</v>
      </c>
      <c r="J124" s="268">
        <v>853333</v>
      </c>
      <c r="K124" s="112">
        <f t="shared" si="1"/>
        <v>0</v>
      </c>
    </row>
    <row r="125" spans="1:11" ht="15">
      <c r="A125" s="110">
        <v>44211</v>
      </c>
      <c r="B125" s="28">
        <v>168</v>
      </c>
      <c r="C125" s="28">
        <v>179</v>
      </c>
      <c r="D125" s="28">
        <v>187</v>
      </c>
      <c r="E125" s="116" t="s">
        <v>716</v>
      </c>
      <c r="F125" s="29"/>
      <c r="G125" s="115" t="s">
        <v>126</v>
      </c>
      <c r="H125" s="15"/>
      <c r="I125" s="208">
        <v>87500000</v>
      </c>
      <c r="J125" s="268">
        <v>66750000</v>
      </c>
      <c r="K125" s="112">
        <f t="shared" si="1"/>
        <v>20750000</v>
      </c>
    </row>
    <row r="126" spans="1:11" ht="15">
      <c r="A126" s="110">
        <v>44211</v>
      </c>
      <c r="B126" s="28">
        <v>189</v>
      </c>
      <c r="C126" s="28">
        <v>244</v>
      </c>
      <c r="D126" s="28">
        <v>189</v>
      </c>
      <c r="E126" s="116" t="s">
        <v>717</v>
      </c>
      <c r="F126" s="29"/>
      <c r="G126" s="115" t="s">
        <v>99</v>
      </c>
      <c r="H126" s="15"/>
      <c r="I126" s="208">
        <v>53452800</v>
      </c>
      <c r="J126" s="268">
        <v>53452800</v>
      </c>
      <c r="K126" s="112">
        <f t="shared" si="1"/>
        <v>0</v>
      </c>
    </row>
    <row r="127" spans="1:11" ht="15">
      <c r="A127" s="110">
        <v>44211</v>
      </c>
      <c r="B127" s="28">
        <v>197</v>
      </c>
      <c r="C127" s="28">
        <v>217</v>
      </c>
      <c r="D127" s="28">
        <v>192</v>
      </c>
      <c r="E127" s="116" t="s">
        <v>718</v>
      </c>
      <c r="F127" s="29"/>
      <c r="G127" s="115" t="s">
        <v>423</v>
      </c>
      <c r="H127" s="15"/>
      <c r="I127" s="208">
        <v>25804800</v>
      </c>
      <c r="J127" s="268">
        <v>25804800</v>
      </c>
      <c r="K127" s="112">
        <f t="shared" si="1"/>
        <v>0</v>
      </c>
    </row>
    <row r="128" spans="1:11" ht="15">
      <c r="A128" s="110">
        <v>44211</v>
      </c>
      <c r="B128" s="28">
        <v>196</v>
      </c>
      <c r="C128" s="28">
        <v>265</v>
      </c>
      <c r="D128" s="28">
        <v>193</v>
      </c>
      <c r="E128" s="116" t="s">
        <v>664</v>
      </c>
      <c r="F128" s="29"/>
      <c r="G128" s="115" t="s">
        <v>234</v>
      </c>
      <c r="H128" s="15"/>
      <c r="I128" s="208">
        <v>42000000</v>
      </c>
      <c r="J128" s="268">
        <v>42000000</v>
      </c>
      <c r="K128" s="112">
        <f t="shared" si="1"/>
        <v>0</v>
      </c>
    </row>
    <row r="129" spans="1:11" ht="15">
      <c r="A129" s="110">
        <v>44211</v>
      </c>
      <c r="B129" s="28">
        <v>198</v>
      </c>
      <c r="C129" s="28">
        <v>253</v>
      </c>
      <c r="D129" s="28">
        <v>194</v>
      </c>
      <c r="E129" s="116" t="s">
        <v>719</v>
      </c>
      <c r="F129" s="29"/>
      <c r="G129" s="115" t="s">
        <v>613</v>
      </c>
      <c r="H129" s="15"/>
      <c r="I129" s="208">
        <v>99000000</v>
      </c>
      <c r="J129" s="268">
        <v>99000000</v>
      </c>
      <c r="K129" s="112">
        <f t="shared" si="1"/>
        <v>0</v>
      </c>
    </row>
    <row r="130" spans="1:11" ht="15">
      <c r="A130" s="110">
        <v>44211</v>
      </c>
      <c r="B130" s="28">
        <v>200</v>
      </c>
      <c r="C130" s="28">
        <v>248</v>
      </c>
      <c r="D130" s="28">
        <v>195</v>
      </c>
      <c r="E130" s="116" t="s">
        <v>720</v>
      </c>
      <c r="F130" s="29"/>
      <c r="G130" s="115" t="s">
        <v>152</v>
      </c>
      <c r="H130" s="15"/>
      <c r="I130" s="208">
        <v>33177600</v>
      </c>
      <c r="J130" s="268">
        <v>33177600</v>
      </c>
      <c r="K130" s="112">
        <f t="shared" si="1"/>
        <v>0</v>
      </c>
    </row>
    <row r="131" spans="1:11" ht="15">
      <c r="A131" s="110">
        <v>44211</v>
      </c>
      <c r="B131" s="28">
        <v>175</v>
      </c>
      <c r="C131" s="28">
        <v>284</v>
      </c>
      <c r="D131" s="28">
        <v>196</v>
      </c>
      <c r="E131" s="116" t="s">
        <v>721</v>
      </c>
      <c r="F131" s="29"/>
      <c r="G131" s="115" t="s">
        <v>614</v>
      </c>
      <c r="H131" s="15"/>
      <c r="I131" s="208">
        <v>22500000</v>
      </c>
      <c r="J131" s="268">
        <v>22500000</v>
      </c>
      <c r="K131" s="112">
        <f t="shared" si="1"/>
        <v>0</v>
      </c>
    </row>
    <row r="132" spans="1:11" ht="15">
      <c r="A132" s="110">
        <v>44211</v>
      </c>
      <c r="B132" s="28">
        <v>193</v>
      </c>
      <c r="C132" s="28">
        <v>274</v>
      </c>
      <c r="D132" s="28">
        <v>197</v>
      </c>
      <c r="E132" s="116" t="s">
        <v>722</v>
      </c>
      <c r="F132" s="29"/>
      <c r="G132" s="115" t="s">
        <v>615</v>
      </c>
      <c r="H132" s="15"/>
      <c r="I132" s="208">
        <v>42000000</v>
      </c>
      <c r="J132" s="268">
        <v>42000000</v>
      </c>
      <c r="K132" s="112">
        <f t="shared" si="1"/>
        <v>0</v>
      </c>
    </row>
    <row r="133" spans="1:11" ht="15">
      <c r="A133" s="110">
        <v>44211</v>
      </c>
      <c r="B133" s="28">
        <v>208</v>
      </c>
      <c r="C133" s="28">
        <v>299</v>
      </c>
      <c r="D133" s="28">
        <v>199</v>
      </c>
      <c r="E133" s="116" t="s">
        <v>723</v>
      </c>
      <c r="F133" s="29"/>
      <c r="G133" s="115" t="s">
        <v>616</v>
      </c>
      <c r="H133" s="15"/>
      <c r="I133" s="208">
        <v>7902000</v>
      </c>
      <c r="J133" s="268">
        <v>7902000</v>
      </c>
      <c r="K133" s="112">
        <f t="shared" si="1"/>
        <v>0</v>
      </c>
    </row>
    <row r="134" spans="1:11" ht="15">
      <c r="A134" s="110">
        <v>44212</v>
      </c>
      <c r="B134" s="28">
        <v>209</v>
      </c>
      <c r="C134" s="28">
        <v>298</v>
      </c>
      <c r="D134" s="28">
        <v>200</v>
      </c>
      <c r="E134" s="116" t="s">
        <v>724</v>
      </c>
      <c r="F134" s="29"/>
      <c r="G134" s="115" t="s">
        <v>617</v>
      </c>
      <c r="H134" s="15"/>
      <c r="I134" s="208">
        <v>7680000</v>
      </c>
      <c r="J134" s="268">
        <v>7680000</v>
      </c>
      <c r="K134" s="112">
        <f t="shared" si="1"/>
        <v>0</v>
      </c>
    </row>
    <row r="135" spans="1:11" ht="15">
      <c r="A135" s="110">
        <v>44212</v>
      </c>
      <c r="B135" s="28">
        <v>171</v>
      </c>
      <c r="C135" s="28">
        <v>293</v>
      </c>
      <c r="D135" s="28">
        <v>201</v>
      </c>
      <c r="E135" s="116" t="s">
        <v>694</v>
      </c>
      <c r="F135" s="29"/>
      <c r="G135" s="115" t="s">
        <v>191</v>
      </c>
      <c r="H135" s="15"/>
      <c r="I135" s="208">
        <v>6144000</v>
      </c>
      <c r="J135" s="268">
        <v>6144000</v>
      </c>
      <c r="K135" s="112">
        <f t="shared" si="1"/>
        <v>0</v>
      </c>
    </row>
    <row r="136" spans="1:11" ht="15">
      <c r="A136" s="110">
        <v>44212</v>
      </c>
      <c r="B136" s="28">
        <v>204</v>
      </c>
      <c r="C136" s="28">
        <v>249</v>
      </c>
      <c r="D136" s="28">
        <v>202</v>
      </c>
      <c r="E136" s="116" t="s">
        <v>725</v>
      </c>
      <c r="F136" s="29"/>
      <c r="G136" s="115" t="s">
        <v>337</v>
      </c>
      <c r="H136" s="15"/>
      <c r="I136" s="208">
        <v>33177600</v>
      </c>
      <c r="J136" s="268">
        <v>33177600</v>
      </c>
      <c r="K136" s="112">
        <f t="shared" si="1"/>
        <v>0</v>
      </c>
    </row>
    <row r="137" spans="1:11" ht="15">
      <c r="A137" s="110">
        <v>44212</v>
      </c>
      <c r="B137" s="28">
        <v>207</v>
      </c>
      <c r="C137" s="28">
        <v>220</v>
      </c>
      <c r="D137" s="28">
        <v>203</v>
      </c>
      <c r="E137" s="116" t="s">
        <v>726</v>
      </c>
      <c r="F137" s="29"/>
      <c r="G137" s="115" t="s">
        <v>618</v>
      </c>
      <c r="H137" s="15"/>
      <c r="I137" s="208">
        <f>80500000-466667</f>
        <v>80033333</v>
      </c>
      <c r="J137" s="268">
        <v>80033333</v>
      </c>
      <c r="K137" s="112">
        <f t="shared" si="1"/>
        <v>0</v>
      </c>
    </row>
    <row r="138" spans="1:11" ht="15">
      <c r="A138" s="110">
        <v>44212</v>
      </c>
      <c r="B138" s="28">
        <v>174</v>
      </c>
      <c r="C138" s="28">
        <v>285</v>
      </c>
      <c r="D138" s="28">
        <v>204</v>
      </c>
      <c r="E138" s="116" t="s">
        <v>727</v>
      </c>
      <c r="F138" s="29"/>
      <c r="G138" s="115" t="s">
        <v>51</v>
      </c>
      <c r="H138" s="15"/>
      <c r="I138" s="208">
        <v>7680000</v>
      </c>
      <c r="J138" s="268">
        <v>6058667</v>
      </c>
      <c r="K138" s="112">
        <f t="shared" si="1"/>
        <v>1621333</v>
      </c>
    </row>
    <row r="139" spans="1:11" ht="15">
      <c r="A139" s="110">
        <v>44212</v>
      </c>
      <c r="B139" s="28">
        <v>211</v>
      </c>
      <c r="C139" s="28">
        <v>136</v>
      </c>
      <c r="D139" s="28">
        <v>205</v>
      </c>
      <c r="E139" s="116" t="s">
        <v>728</v>
      </c>
      <c r="F139" s="29"/>
      <c r="G139" s="115" t="s">
        <v>619</v>
      </c>
      <c r="H139" s="15"/>
      <c r="I139" s="208">
        <f>48000000-35800000</f>
        <v>12200000</v>
      </c>
      <c r="J139" s="268">
        <v>12200000</v>
      </c>
      <c r="K139" s="112">
        <f t="shared" si="1"/>
        <v>0</v>
      </c>
    </row>
    <row r="140" spans="1:11" ht="15">
      <c r="A140" s="110">
        <v>44214</v>
      </c>
      <c r="B140" s="28">
        <v>206</v>
      </c>
      <c r="C140" s="28">
        <v>235</v>
      </c>
      <c r="D140" s="28">
        <v>208</v>
      </c>
      <c r="E140" s="116" t="s">
        <v>729</v>
      </c>
      <c r="F140" s="29"/>
      <c r="G140" s="115" t="s">
        <v>620</v>
      </c>
      <c r="H140" s="15"/>
      <c r="I140" s="208">
        <v>27000000</v>
      </c>
      <c r="J140" s="268">
        <v>27000000</v>
      </c>
      <c r="K140" s="112">
        <f t="shared" si="1"/>
        <v>0</v>
      </c>
    </row>
    <row r="141" spans="1:11" ht="15">
      <c r="A141" s="110">
        <v>44214</v>
      </c>
      <c r="B141" s="28">
        <v>213</v>
      </c>
      <c r="C141" s="28">
        <v>300</v>
      </c>
      <c r="D141" s="28">
        <v>209</v>
      </c>
      <c r="E141" s="116" t="s">
        <v>730</v>
      </c>
      <c r="F141" s="29"/>
      <c r="G141" s="115" t="s">
        <v>116</v>
      </c>
      <c r="H141" s="15"/>
      <c r="I141" s="208">
        <v>28600000</v>
      </c>
      <c r="J141" s="268">
        <v>28600000</v>
      </c>
      <c r="K141" s="112">
        <f t="shared" si="1"/>
        <v>0</v>
      </c>
    </row>
    <row r="142" spans="1:11" ht="15">
      <c r="A142" s="110">
        <v>44214</v>
      </c>
      <c r="B142" s="28">
        <v>214</v>
      </c>
      <c r="C142" s="28">
        <v>286</v>
      </c>
      <c r="D142" s="28">
        <v>219</v>
      </c>
      <c r="E142" s="116" t="s">
        <v>731</v>
      </c>
      <c r="F142" s="29"/>
      <c r="G142" s="115" t="s">
        <v>76</v>
      </c>
      <c r="H142" s="15"/>
      <c r="I142" s="208">
        <v>45465600</v>
      </c>
      <c r="J142" s="268">
        <v>45465600</v>
      </c>
      <c r="K142" s="112">
        <f t="shared" si="2" ref="K142:K205">+I142-J142</f>
        <v>0</v>
      </c>
    </row>
    <row r="143" spans="1:11" ht="15">
      <c r="A143" s="110">
        <v>44214</v>
      </c>
      <c r="B143" s="28">
        <v>222</v>
      </c>
      <c r="C143" s="28">
        <v>271</v>
      </c>
      <c r="D143" s="28">
        <v>221</v>
      </c>
      <c r="E143" s="116" t="s">
        <v>479</v>
      </c>
      <c r="F143" s="29"/>
      <c r="G143" s="115" t="s">
        <v>49</v>
      </c>
      <c r="H143" s="15"/>
      <c r="I143" s="208">
        <v>15804000</v>
      </c>
      <c r="J143" s="268">
        <v>15804000</v>
      </c>
      <c r="K143" s="112">
        <f t="shared" si="2"/>
        <v>0</v>
      </c>
    </row>
    <row r="144" spans="1:11" ht="15">
      <c r="A144" s="110">
        <v>44214</v>
      </c>
      <c r="B144" s="28">
        <v>223</v>
      </c>
      <c r="C144" s="28">
        <v>272</v>
      </c>
      <c r="D144" s="28">
        <v>222</v>
      </c>
      <c r="E144" s="116" t="s">
        <v>479</v>
      </c>
      <c r="F144" s="29"/>
      <c r="G144" s="115" t="s">
        <v>211</v>
      </c>
      <c r="H144" s="15"/>
      <c r="I144" s="173">
        <v>15804000</v>
      </c>
      <c r="J144" s="268">
        <v>15804000</v>
      </c>
      <c r="K144" s="112">
        <f t="shared" si="2"/>
        <v>0</v>
      </c>
    </row>
    <row r="145" spans="1:11" ht="15">
      <c r="A145" s="27">
        <v>44214</v>
      </c>
      <c r="B145" s="28">
        <v>224</v>
      </c>
      <c r="C145" s="28">
        <v>264</v>
      </c>
      <c r="D145" s="28">
        <v>223</v>
      </c>
      <c r="E145" s="116" t="s">
        <v>479</v>
      </c>
      <c r="F145" s="29"/>
      <c r="G145" s="152" t="s">
        <v>153</v>
      </c>
      <c r="H145" s="15"/>
      <c r="I145" s="174">
        <v>15804000</v>
      </c>
      <c r="J145" s="268">
        <v>15804000</v>
      </c>
      <c r="K145" s="112">
        <f t="shared" si="2"/>
        <v>0</v>
      </c>
    </row>
    <row r="146" spans="1:11" ht="15">
      <c r="A146" s="166">
        <v>44214</v>
      </c>
      <c r="B146" s="28">
        <v>231</v>
      </c>
      <c r="C146" s="168">
        <v>292</v>
      </c>
      <c r="D146" s="28">
        <v>226</v>
      </c>
      <c r="E146" s="115" t="s">
        <v>732</v>
      </c>
      <c r="F146" s="29"/>
      <c r="G146" s="176" t="s">
        <v>150</v>
      </c>
      <c r="H146" s="15"/>
      <c r="I146" s="174">
        <f>82432000-2150400</f>
        <v>80281600</v>
      </c>
      <c r="J146" s="268">
        <v>80281600</v>
      </c>
      <c r="K146" s="112">
        <f t="shared" si="2"/>
        <v>0</v>
      </c>
    </row>
    <row r="147" spans="1:11" ht="15">
      <c r="A147" s="166">
        <v>44214</v>
      </c>
      <c r="B147" s="28">
        <v>221</v>
      </c>
      <c r="C147" s="168">
        <v>263</v>
      </c>
      <c r="D147" s="28">
        <v>227</v>
      </c>
      <c r="E147" s="115" t="s">
        <v>479</v>
      </c>
      <c r="F147" s="29"/>
      <c r="G147" s="152" t="s">
        <v>120</v>
      </c>
      <c r="H147" s="15"/>
      <c r="I147" s="174">
        <v>15804000</v>
      </c>
      <c r="J147" s="268">
        <v>15804000</v>
      </c>
      <c r="K147" s="112">
        <f t="shared" si="2"/>
        <v>0</v>
      </c>
    </row>
    <row r="148" spans="1:11" ht="15">
      <c r="A148" s="166">
        <v>44214</v>
      </c>
      <c r="B148" s="28">
        <v>230</v>
      </c>
      <c r="C148" s="168">
        <v>303</v>
      </c>
      <c r="D148" s="28">
        <v>230</v>
      </c>
      <c r="E148" s="115" t="s">
        <v>733</v>
      </c>
      <c r="F148" s="29"/>
      <c r="G148" s="152" t="s">
        <v>230</v>
      </c>
      <c r="H148" s="15"/>
      <c r="I148" s="174">
        <v>36864000</v>
      </c>
      <c r="J148" s="268">
        <v>36864000</v>
      </c>
      <c r="K148" s="112">
        <f t="shared" si="2"/>
        <v>0</v>
      </c>
    </row>
    <row r="149" spans="1:11" ht="15">
      <c r="A149" s="166">
        <v>44214</v>
      </c>
      <c r="B149" s="28">
        <v>210</v>
      </c>
      <c r="C149" s="168">
        <v>283</v>
      </c>
      <c r="D149" s="28">
        <v>231</v>
      </c>
      <c r="E149" s="115" t="s">
        <v>734</v>
      </c>
      <c r="F149" s="29"/>
      <c r="G149" s="152" t="s">
        <v>124</v>
      </c>
      <c r="H149" s="15"/>
      <c r="I149" s="174">
        <f>70656000-409600</f>
        <v>70246400</v>
      </c>
      <c r="J149" s="268">
        <v>70246400</v>
      </c>
      <c r="K149" s="112">
        <f t="shared" si="2"/>
        <v>0</v>
      </c>
    </row>
    <row r="150" spans="1:11" ht="15">
      <c r="A150" s="166">
        <v>44215</v>
      </c>
      <c r="B150" s="28">
        <v>188</v>
      </c>
      <c r="C150" s="168">
        <v>307</v>
      </c>
      <c r="D150" s="28">
        <v>233</v>
      </c>
      <c r="E150" s="115" t="s">
        <v>724</v>
      </c>
      <c r="F150" s="29"/>
      <c r="G150" s="152" t="s">
        <v>156</v>
      </c>
      <c r="H150" s="15"/>
      <c r="I150" s="174">
        <v>7680000</v>
      </c>
      <c r="J150" s="268">
        <v>7680000</v>
      </c>
      <c r="K150" s="112">
        <f t="shared" si="2"/>
        <v>0</v>
      </c>
    </row>
    <row r="151" spans="1:11" ht="15">
      <c r="A151" s="166">
        <v>44215</v>
      </c>
      <c r="B151" s="28">
        <v>235</v>
      </c>
      <c r="C151" s="168">
        <v>320</v>
      </c>
      <c r="D151" s="28">
        <v>234</v>
      </c>
      <c r="E151" s="115" t="s">
        <v>735</v>
      </c>
      <c r="F151" s="29"/>
      <c r="G151" s="152" t="s">
        <v>181</v>
      </c>
      <c r="H151" s="15"/>
      <c r="I151" s="174">
        <v>10444800</v>
      </c>
      <c r="J151" s="268">
        <v>10444800</v>
      </c>
      <c r="K151" s="112">
        <f t="shared" si="2"/>
        <v>0</v>
      </c>
    </row>
    <row r="152" spans="1:11" ht="15">
      <c r="A152" s="166">
        <v>44215</v>
      </c>
      <c r="B152" s="28">
        <v>236</v>
      </c>
      <c r="C152" s="168">
        <v>315</v>
      </c>
      <c r="D152" s="28">
        <v>236</v>
      </c>
      <c r="E152" s="115" t="s">
        <v>427</v>
      </c>
      <c r="F152" s="29"/>
      <c r="G152" s="152" t="s">
        <v>420</v>
      </c>
      <c r="H152" s="15"/>
      <c r="I152" s="174">
        <v>25804800</v>
      </c>
      <c r="J152" s="268">
        <v>24227840</v>
      </c>
      <c r="K152" s="112">
        <f t="shared" si="2"/>
        <v>1576960</v>
      </c>
    </row>
    <row r="153" spans="1:11" ht="15">
      <c r="A153" s="166">
        <v>44215</v>
      </c>
      <c r="B153" s="28">
        <v>237</v>
      </c>
      <c r="C153" s="168">
        <v>316</v>
      </c>
      <c r="D153" s="28">
        <v>237</v>
      </c>
      <c r="E153" s="115" t="s">
        <v>736</v>
      </c>
      <c r="F153" s="29"/>
      <c r="G153" s="152" t="s">
        <v>315</v>
      </c>
      <c r="H153" s="15"/>
      <c r="I153" s="174">
        <v>26100000</v>
      </c>
      <c r="J153" s="268">
        <v>26100000</v>
      </c>
      <c r="K153" s="112">
        <f t="shared" si="2"/>
        <v>0</v>
      </c>
    </row>
    <row r="154" spans="1:11" ht="15">
      <c r="A154" s="166">
        <v>44215</v>
      </c>
      <c r="B154" s="28">
        <v>244</v>
      </c>
      <c r="C154" s="168">
        <v>326</v>
      </c>
      <c r="D154" s="28">
        <v>238</v>
      </c>
      <c r="E154" s="115" t="s">
        <v>426</v>
      </c>
      <c r="F154" s="29"/>
      <c r="G154" s="152" t="s">
        <v>419</v>
      </c>
      <c r="H154" s="15"/>
      <c r="I154" s="174">
        <v>54400000</v>
      </c>
      <c r="J154" s="268">
        <v>54400000</v>
      </c>
      <c r="K154" s="112">
        <f t="shared" si="2"/>
        <v>0</v>
      </c>
    </row>
    <row r="155" spans="1:11" ht="15">
      <c r="A155" s="166">
        <v>44215</v>
      </c>
      <c r="B155" s="28">
        <v>241</v>
      </c>
      <c r="C155" s="168">
        <v>305</v>
      </c>
      <c r="D155" s="28">
        <v>239</v>
      </c>
      <c r="E155" s="115" t="s">
        <v>737</v>
      </c>
      <c r="F155" s="29"/>
      <c r="G155" s="152" t="s">
        <v>621</v>
      </c>
      <c r="H155" s="15"/>
      <c r="I155" s="174">
        <v>52224000</v>
      </c>
      <c r="J155" s="268">
        <v>52224000</v>
      </c>
      <c r="K155" s="112">
        <f t="shared" si="2"/>
        <v>0</v>
      </c>
    </row>
    <row r="156" spans="1:11" ht="15">
      <c r="A156" s="166">
        <v>44216</v>
      </c>
      <c r="B156" s="28">
        <v>247</v>
      </c>
      <c r="C156" s="168">
        <v>331</v>
      </c>
      <c r="D156" s="28">
        <v>246</v>
      </c>
      <c r="E156" s="115" t="s">
        <v>428</v>
      </c>
      <c r="F156" s="29"/>
      <c r="G156" s="152" t="s">
        <v>421</v>
      </c>
      <c r="H156" s="15"/>
      <c r="I156" s="174">
        <v>15000000</v>
      </c>
      <c r="J156" s="268">
        <v>15000000</v>
      </c>
      <c r="K156" s="112">
        <f t="shared" si="2"/>
        <v>0</v>
      </c>
    </row>
    <row r="157" spans="1:11" ht="15">
      <c r="A157" s="166">
        <v>44216</v>
      </c>
      <c r="B157" s="28">
        <v>248</v>
      </c>
      <c r="C157" s="168">
        <v>336</v>
      </c>
      <c r="D157" s="28">
        <v>247</v>
      </c>
      <c r="E157" s="115" t="s">
        <v>738</v>
      </c>
      <c r="F157" s="29"/>
      <c r="G157" s="152" t="s">
        <v>333</v>
      </c>
      <c r="H157" s="15"/>
      <c r="I157" s="174">
        <v>23400000</v>
      </c>
      <c r="J157" s="268">
        <v>23400000</v>
      </c>
      <c r="K157" s="112">
        <f t="shared" si="2"/>
        <v>0</v>
      </c>
    </row>
    <row r="158" spans="1:11" ht="15">
      <c r="A158" s="166">
        <v>44216</v>
      </c>
      <c r="B158" s="28">
        <v>249</v>
      </c>
      <c r="C158" s="168">
        <v>314</v>
      </c>
      <c r="D158" s="28">
        <v>248</v>
      </c>
      <c r="E158" s="115" t="s">
        <v>739</v>
      </c>
      <c r="F158" s="29"/>
      <c r="G158" s="152" t="s">
        <v>622</v>
      </c>
      <c r="H158" s="15"/>
      <c r="I158" s="174">
        <v>32562000</v>
      </c>
      <c r="J158" s="268">
        <v>32562000</v>
      </c>
      <c r="K158" s="112">
        <f t="shared" si="2"/>
        <v>0</v>
      </c>
    </row>
    <row r="159" spans="1:11" ht="15">
      <c r="A159" s="166">
        <v>44216</v>
      </c>
      <c r="B159" s="28">
        <v>251</v>
      </c>
      <c r="C159" s="168">
        <v>324</v>
      </c>
      <c r="D159" s="28">
        <v>250</v>
      </c>
      <c r="E159" s="115" t="s">
        <v>740</v>
      </c>
      <c r="F159" s="29"/>
      <c r="G159" s="152" t="s">
        <v>362</v>
      </c>
      <c r="H159" s="15"/>
      <c r="I159" s="174">
        <v>47850000</v>
      </c>
      <c r="J159" s="268">
        <v>47850000</v>
      </c>
      <c r="K159" s="112">
        <f t="shared" si="2"/>
        <v>0</v>
      </c>
    </row>
    <row r="160" spans="1:11" ht="15">
      <c r="A160" s="166">
        <v>44216</v>
      </c>
      <c r="B160" s="28">
        <v>250</v>
      </c>
      <c r="C160" s="168">
        <v>330</v>
      </c>
      <c r="D160" s="28">
        <v>251</v>
      </c>
      <c r="E160" s="115" t="s">
        <v>741</v>
      </c>
      <c r="F160" s="29"/>
      <c r="G160" s="152" t="s">
        <v>74</v>
      </c>
      <c r="H160" s="15"/>
      <c r="I160" s="174">
        <v>32563200</v>
      </c>
      <c r="J160" s="268">
        <v>32563200</v>
      </c>
      <c r="K160" s="112">
        <f t="shared" si="2"/>
        <v>0</v>
      </c>
    </row>
    <row r="161" spans="1:11" ht="15">
      <c r="A161" s="166">
        <v>44216</v>
      </c>
      <c r="B161" s="28">
        <v>155</v>
      </c>
      <c r="C161" s="168">
        <v>251</v>
      </c>
      <c r="D161" s="28">
        <v>253</v>
      </c>
      <c r="E161" s="115" t="s">
        <v>742</v>
      </c>
      <c r="F161" s="29"/>
      <c r="G161" s="152" t="s">
        <v>623</v>
      </c>
      <c r="H161" s="15"/>
      <c r="I161" s="174">
        <v>22500000</v>
      </c>
      <c r="J161" s="268">
        <v>22500000</v>
      </c>
      <c r="K161" s="112">
        <f t="shared" si="2"/>
        <v>0</v>
      </c>
    </row>
    <row r="162" spans="1:11" ht="15">
      <c r="A162" s="166">
        <v>44216</v>
      </c>
      <c r="B162" s="28">
        <v>257</v>
      </c>
      <c r="C162" s="168">
        <v>312</v>
      </c>
      <c r="D162" s="28">
        <v>257</v>
      </c>
      <c r="E162" s="115" t="s">
        <v>743</v>
      </c>
      <c r="F162" s="29"/>
      <c r="G162" s="152" t="s">
        <v>64</v>
      </c>
      <c r="H162" s="15"/>
      <c r="I162" s="174">
        <v>15804000</v>
      </c>
      <c r="J162" s="268">
        <v>15804000</v>
      </c>
      <c r="K162" s="112">
        <f t="shared" si="2"/>
        <v>0</v>
      </c>
    </row>
    <row r="163" spans="1:11" ht="15">
      <c r="A163" s="166">
        <v>44216</v>
      </c>
      <c r="B163" s="28">
        <v>246</v>
      </c>
      <c r="C163" s="168">
        <v>327</v>
      </c>
      <c r="D163" s="28">
        <v>259</v>
      </c>
      <c r="E163" s="115" t="s">
        <v>668</v>
      </c>
      <c r="F163" s="29"/>
      <c r="G163" s="152" t="s">
        <v>624</v>
      </c>
      <c r="H163" s="15"/>
      <c r="I163" s="174">
        <v>54400000</v>
      </c>
      <c r="J163" s="268">
        <v>54400000</v>
      </c>
      <c r="K163" s="112">
        <f t="shared" si="2"/>
        <v>0</v>
      </c>
    </row>
    <row r="164" spans="1:11" ht="15">
      <c r="A164" s="166">
        <v>44217</v>
      </c>
      <c r="B164" s="28">
        <v>264</v>
      </c>
      <c r="C164" s="168">
        <v>328</v>
      </c>
      <c r="D164" s="28">
        <v>263</v>
      </c>
      <c r="E164" s="115" t="s">
        <v>744</v>
      </c>
      <c r="F164" s="29"/>
      <c r="G164" s="152" t="s">
        <v>625</v>
      </c>
      <c r="H164" s="15"/>
      <c r="I164" s="174">
        <f>36000000-27000000</f>
        <v>9000000</v>
      </c>
      <c r="J164" s="268">
        <v>9000000</v>
      </c>
      <c r="K164" s="112">
        <f t="shared" si="2"/>
        <v>0</v>
      </c>
    </row>
    <row r="165" spans="1:11" ht="15">
      <c r="A165" s="166">
        <v>44217</v>
      </c>
      <c r="B165" s="28">
        <v>268</v>
      </c>
      <c r="C165" s="168">
        <v>365</v>
      </c>
      <c r="D165" s="28">
        <v>268</v>
      </c>
      <c r="E165" s="115" t="s">
        <v>479</v>
      </c>
      <c r="F165" s="29"/>
      <c r="G165" s="152" t="s">
        <v>476</v>
      </c>
      <c r="H165" s="15"/>
      <c r="I165" s="174">
        <v>15804000</v>
      </c>
      <c r="J165" s="268">
        <v>15804000</v>
      </c>
      <c r="K165" s="112">
        <f t="shared" si="2"/>
        <v>0</v>
      </c>
    </row>
    <row r="166" spans="1:11" ht="15">
      <c r="A166" s="166">
        <v>44217</v>
      </c>
      <c r="B166" s="28">
        <v>272</v>
      </c>
      <c r="C166" s="168">
        <v>375</v>
      </c>
      <c r="D166" s="28">
        <v>269</v>
      </c>
      <c r="E166" s="115" t="s">
        <v>745</v>
      </c>
      <c r="F166" s="29"/>
      <c r="G166" s="152" t="s">
        <v>63</v>
      </c>
      <c r="H166" s="15"/>
      <c r="I166" s="174">
        <v>28600000</v>
      </c>
      <c r="J166" s="268">
        <v>24266667</v>
      </c>
      <c r="K166" s="112">
        <f t="shared" si="2"/>
        <v>4333333</v>
      </c>
    </row>
    <row r="167" spans="1:11" ht="15">
      <c r="A167" s="166">
        <v>44217</v>
      </c>
      <c r="B167" s="28">
        <v>276</v>
      </c>
      <c r="C167" s="168">
        <v>369</v>
      </c>
      <c r="D167" s="28">
        <v>278</v>
      </c>
      <c r="E167" s="115" t="s">
        <v>746</v>
      </c>
      <c r="F167" s="29"/>
      <c r="G167" s="152" t="s">
        <v>142</v>
      </c>
      <c r="H167" s="15"/>
      <c r="I167" s="174">
        <v>60000000</v>
      </c>
      <c r="J167" s="268">
        <v>60000000</v>
      </c>
      <c r="K167" s="112">
        <f t="shared" si="2"/>
        <v>0</v>
      </c>
    </row>
    <row r="168" spans="1:11" ht="15">
      <c r="A168" s="166">
        <v>44217</v>
      </c>
      <c r="B168" s="28">
        <v>277</v>
      </c>
      <c r="C168" s="168">
        <v>353</v>
      </c>
      <c r="D168" s="28">
        <v>279</v>
      </c>
      <c r="E168" s="115" t="s">
        <v>747</v>
      </c>
      <c r="F168" s="29"/>
      <c r="G168" s="152" t="s">
        <v>72</v>
      </c>
      <c r="H168" s="15"/>
      <c r="I168" s="174">
        <v>29490000</v>
      </c>
      <c r="J168" s="268">
        <v>29490000</v>
      </c>
      <c r="K168" s="112">
        <f t="shared" si="2"/>
        <v>0</v>
      </c>
    </row>
    <row r="169" spans="1:11" ht="15">
      <c r="A169" s="166">
        <v>44217</v>
      </c>
      <c r="B169" s="28">
        <v>280</v>
      </c>
      <c r="C169" s="168">
        <v>371</v>
      </c>
      <c r="D169" s="28">
        <v>285</v>
      </c>
      <c r="E169" s="115" t="s">
        <v>479</v>
      </c>
      <c r="F169" s="29"/>
      <c r="G169" s="152" t="s">
        <v>129</v>
      </c>
      <c r="H169" s="15"/>
      <c r="I169" s="174">
        <v>15804000</v>
      </c>
      <c r="J169" s="268">
        <v>15804000</v>
      </c>
      <c r="K169" s="112">
        <f t="shared" si="2"/>
        <v>0</v>
      </c>
    </row>
    <row r="170" spans="1:11" ht="15">
      <c r="A170" s="166">
        <v>44217</v>
      </c>
      <c r="B170" s="28">
        <v>279</v>
      </c>
      <c r="C170" s="168">
        <v>370</v>
      </c>
      <c r="D170" s="28">
        <v>286</v>
      </c>
      <c r="E170" s="115" t="s">
        <v>479</v>
      </c>
      <c r="F170" s="29"/>
      <c r="G170" s="152" t="s">
        <v>225</v>
      </c>
      <c r="H170" s="15"/>
      <c r="I170" s="174">
        <v>15804000</v>
      </c>
      <c r="J170" s="268">
        <v>15804000</v>
      </c>
      <c r="K170" s="112">
        <f t="shared" si="2"/>
        <v>0</v>
      </c>
    </row>
    <row r="171" spans="1:11" ht="15">
      <c r="A171" s="166">
        <v>44217</v>
      </c>
      <c r="B171" s="28">
        <v>281</v>
      </c>
      <c r="C171" s="168">
        <v>372</v>
      </c>
      <c r="D171" s="28">
        <v>287</v>
      </c>
      <c r="E171" s="115" t="s">
        <v>479</v>
      </c>
      <c r="F171" s="29"/>
      <c r="G171" s="152" t="s">
        <v>136</v>
      </c>
      <c r="H171" s="15"/>
      <c r="I171" s="174">
        <v>15804000</v>
      </c>
      <c r="J171" s="268">
        <v>15804000</v>
      </c>
      <c r="K171" s="112">
        <f t="shared" si="2"/>
        <v>0</v>
      </c>
    </row>
    <row r="172" spans="1:11" ht="15">
      <c r="A172" s="166">
        <v>44218</v>
      </c>
      <c r="B172" s="28">
        <v>287</v>
      </c>
      <c r="C172" s="168">
        <v>381</v>
      </c>
      <c r="D172" s="28">
        <v>288</v>
      </c>
      <c r="E172" s="115" t="s">
        <v>748</v>
      </c>
      <c r="F172" s="29"/>
      <c r="G172" s="152" t="s">
        <v>626</v>
      </c>
      <c r="H172" s="15"/>
      <c r="I172" s="174">
        <v>30000000</v>
      </c>
      <c r="J172" s="268">
        <v>26500000</v>
      </c>
      <c r="K172" s="112">
        <f t="shared" si="2"/>
        <v>3500000</v>
      </c>
    </row>
    <row r="173" spans="1:11" ht="15">
      <c r="A173" s="166">
        <v>44218</v>
      </c>
      <c r="B173" s="28">
        <v>269</v>
      </c>
      <c r="C173" s="168">
        <v>366</v>
      </c>
      <c r="D173" s="28">
        <v>290</v>
      </c>
      <c r="E173" s="115" t="s">
        <v>479</v>
      </c>
      <c r="F173" s="29"/>
      <c r="G173" s="152" t="s">
        <v>130</v>
      </c>
      <c r="H173" s="15"/>
      <c r="I173" s="174">
        <v>15804000</v>
      </c>
      <c r="J173" s="268">
        <v>15804000</v>
      </c>
      <c r="K173" s="112">
        <f t="shared" si="2"/>
        <v>0</v>
      </c>
    </row>
    <row r="174" spans="1:11" ht="15">
      <c r="A174" s="166">
        <v>44218</v>
      </c>
      <c r="B174" s="28">
        <v>274</v>
      </c>
      <c r="C174" s="168">
        <v>246</v>
      </c>
      <c r="D174" s="28">
        <v>292</v>
      </c>
      <c r="E174" s="115" t="s">
        <v>749</v>
      </c>
      <c r="F174" s="29"/>
      <c r="G174" s="152" t="s">
        <v>297</v>
      </c>
      <c r="H174" s="15"/>
      <c r="I174" s="174">
        <f>36864000-34816000</f>
        <v>2048000</v>
      </c>
      <c r="J174" s="268">
        <v>2048000</v>
      </c>
      <c r="K174" s="112">
        <f t="shared" si="2"/>
        <v>0</v>
      </c>
    </row>
    <row r="175" spans="1:11" ht="15">
      <c r="A175" s="166">
        <v>44218</v>
      </c>
      <c r="B175" s="28">
        <v>289</v>
      </c>
      <c r="C175" s="168">
        <v>380</v>
      </c>
      <c r="D175" s="28">
        <v>293</v>
      </c>
      <c r="E175" s="115" t="s">
        <v>750</v>
      </c>
      <c r="F175" s="29"/>
      <c r="G175" s="152" t="s">
        <v>193</v>
      </c>
      <c r="H175" s="15"/>
      <c r="I175" s="174">
        <v>39936000</v>
      </c>
      <c r="J175" s="268">
        <v>39936000</v>
      </c>
      <c r="K175" s="112">
        <f t="shared" si="2"/>
        <v>0</v>
      </c>
    </row>
    <row r="176" spans="1:11" ht="15">
      <c r="A176" s="166">
        <v>44218</v>
      </c>
      <c r="B176" s="28">
        <v>304</v>
      </c>
      <c r="C176" s="168">
        <v>388</v>
      </c>
      <c r="D176" s="28">
        <v>305</v>
      </c>
      <c r="E176" s="115" t="s">
        <v>751</v>
      </c>
      <c r="F176" s="29"/>
      <c r="G176" s="152" t="s">
        <v>417</v>
      </c>
      <c r="H176" s="15"/>
      <c r="I176" s="174">
        <v>67584000</v>
      </c>
      <c r="J176" s="268">
        <v>67584000</v>
      </c>
      <c r="K176" s="112">
        <f t="shared" si="2"/>
        <v>0</v>
      </c>
    </row>
    <row r="177" spans="1:11" ht="15">
      <c r="A177" s="166">
        <v>44221</v>
      </c>
      <c r="B177" s="28">
        <v>307</v>
      </c>
      <c r="C177" s="168">
        <v>399</v>
      </c>
      <c r="D177" s="28">
        <v>308</v>
      </c>
      <c r="E177" s="115" t="s">
        <v>752</v>
      </c>
      <c r="F177" s="29"/>
      <c r="G177" s="152" t="s">
        <v>75</v>
      </c>
      <c r="H177" s="15"/>
      <c r="I177" s="174">
        <v>52224000</v>
      </c>
      <c r="J177" s="268">
        <v>52224000</v>
      </c>
      <c r="K177" s="112">
        <f t="shared" si="2"/>
        <v>0</v>
      </c>
    </row>
    <row r="178" spans="1:11" ht="15">
      <c r="A178" s="166">
        <v>44221</v>
      </c>
      <c r="B178" s="28">
        <v>297</v>
      </c>
      <c r="C178" s="168">
        <v>394</v>
      </c>
      <c r="D178" s="28">
        <v>309</v>
      </c>
      <c r="E178" s="115" t="s">
        <v>753</v>
      </c>
      <c r="F178" s="29"/>
      <c r="G178" s="152" t="s">
        <v>627</v>
      </c>
      <c r="H178" s="15"/>
      <c r="I178" s="174">
        <v>45000000</v>
      </c>
      <c r="J178" s="268">
        <v>45000000</v>
      </c>
      <c r="K178" s="112">
        <f t="shared" si="2"/>
        <v>0</v>
      </c>
    </row>
    <row r="179" spans="1:11" ht="15">
      <c r="A179" s="166">
        <v>44221</v>
      </c>
      <c r="B179" s="28">
        <v>303</v>
      </c>
      <c r="C179" s="168">
        <v>387</v>
      </c>
      <c r="D179" s="28">
        <v>315</v>
      </c>
      <c r="E179" s="115" t="s">
        <v>668</v>
      </c>
      <c r="F179" s="29"/>
      <c r="G179" s="152" t="s">
        <v>182</v>
      </c>
      <c r="H179" s="15"/>
      <c r="I179" s="174">
        <v>41779200</v>
      </c>
      <c r="J179" s="268">
        <v>41779200</v>
      </c>
      <c r="K179" s="112">
        <f t="shared" si="2"/>
        <v>0</v>
      </c>
    </row>
    <row r="180" spans="1:11" ht="15">
      <c r="A180" s="166">
        <v>44221</v>
      </c>
      <c r="B180" s="28">
        <v>305</v>
      </c>
      <c r="C180" s="168">
        <v>395</v>
      </c>
      <c r="D180" s="28">
        <v>316</v>
      </c>
      <c r="E180" s="115" t="s">
        <v>748</v>
      </c>
      <c r="F180" s="29"/>
      <c r="G180" s="152" t="s">
        <v>628</v>
      </c>
      <c r="H180" s="15"/>
      <c r="I180" s="174">
        <v>30000000</v>
      </c>
      <c r="J180" s="268">
        <v>30000000</v>
      </c>
      <c r="K180" s="112">
        <f t="shared" si="2"/>
        <v>0</v>
      </c>
    </row>
    <row r="181" spans="1:11" ht="15">
      <c r="A181" s="166">
        <v>44221</v>
      </c>
      <c r="B181" s="28">
        <v>312</v>
      </c>
      <c r="C181" s="168">
        <v>417</v>
      </c>
      <c r="D181" s="28">
        <v>317</v>
      </c>
      <c r="E181" s="115" t="s">
        <v>754</v>
      </c>
      <c r="F181" s="29"/>
      <c r="G181" s="152" t="s">
        <v>629</v>
      </c>
      <c r="H181" s="15"/>
      <c r="I181" s="174">
        <v>6000000</v>
      </c>
      <c r="J181" s="268">
        <v>6000000</v>
      </c>
      <c r="K181" s="112">
        <f t="shared" si="2"/>
        <v>0</v>
      </c>
    </row>
    <row r="182" spans="1:11" ht="15">
      <c r="A182" s="166">
        <v>44221</v>
      </c>
      <c r="B182" s="28">
        <v>215</v>
      </c>
      <c r="C182" s="168">
        <v>416</v>
      </c>
      <c r="D182" s="28">
        <v>318</v>
      </c>
      <c r="E182" s="115" t="s">
        <v>755</v>
      </c>
      <c r="F182" s="29"/>
      <c r="G182" s="152" t="s">
        <v>224</v>
      </c>
      <c r="H182" s="15"/>
      <c r="I182" s="174">
        <v>12000000</v>
      </c>
      <c r="J182" s="268">
        <v>12000000</v>
      </c>
      <c r="K182" s="112">
        <f t="shared" si="2"/>
        <v>0</v>
      </c>
    </row>
    <row r="183" spans="1:11" ht="15">
      <c r="A183" s="166">
        <v>44221</v>
      </c>
      <c r="B183" s="28">
        <v>320</v>
      </c>
      <c r="C183" s="168">
        <v>410</v>
      </c>
      <c r="D183" s="28">
        <v>329</v>
      </c>
      <c r="E183" s="115" t="s">
        <v>748</v>
      </c>
      <c r="F183" s="29"/>
      <c r="G183" s="152" t="s">
        <v>630</v>
      </c>
      <c r="H183" s="15"/>
      <c r="I183" s="174">
        <v>30000000</v>
      </c>
      <c r="J183" s="268">
        <v>30000000</v>
      </c>
      <c r="K183" s="112">
        <f t="shared" si="2"/>
        <v>0</v>
      </c>
    </row>
    <row r="184" spans="1:11" ht="15">
      <c r="A184" s="166">
        <v>44221</v>
      </c>
      <c r="B184" s="28">
        <v>333</v>
      </c>
      <c r="C184" s="168">
        <v>406</v>
      </c>
      <c r="D184" s="28">
        <v>332</v>
      </c>
      <c r="E184" s="115" t="s">
        <v>756</v>
      </c>
      <c r="F184" s="29"/>
      <c r="G184" s="152" t="s">
        <v>73</v>
      </c>
      <c r="H184" s="15"/>
      <c r="I184" s="174">
        <v>23988000</v>
      </c>
      <c r="J184" s="268">
        <v>23988000</v>
      </c>
      <c r="K184" s="112">
        <f t="shared" si="2"/>
        <v>0</v>
      </c>
    </row>
    <row r="185" spans="1:11" ht="15">
      <c r="A185" s="166">
        <v>44221</v>
      </c>
      <c r="B185" s="28">
        <v>334</v>
      </c>
      <c r="C185" s="168">
        <v>392</v>
      </c>
      <c r="D185" s="28">
        <v>335</v>
      </c>
      <c r="E185" s="115" t="s">
        <v>757</v>
      </c>
      <c r="F185" s="29"/>
      <c r="G185" s="152" t="s">
        <v>189</v>
      </c>
      <c r="H185" s="15"/>
      <c r="I185" s="174">
        <v>25800000</v>
      </c>
      <c r="J185" s="268">
        <v>25800000</v>
      </c>
      <c r="K185" s="112">
        <f t="shared" si="2"/>
        <v>0</v>
      </c>
    </row>
    <row r="186" spans="1:11" ht="15">
      <c r="A186" s="166">
        <v>44221</v>
      </c>
      <c r="B186" s="28">
        <v>329</v>
      </c>
      <c r="C186" s="168">
        <v>398</v>
      </c>
      <c r="D186" s="28">
        <v>336</v>
      </c>
      <c r="E186" s="115" t="s">
        <v>758</v>
      </c>
      <c r="F186" s="29"/>
      <c r="G186" s="152" t="s">
        <v>363</v>
      </c>
      <c r="H186" s="15"/>
      <c r="I186" s="174">
        <v>84480000</v>
      </c>
      <c r="J186" s="268">
        <v>84480000</v>
      </c>
      <c r="K186" s="112">
        <f t="shared" si="2"/>
        <v>0</v>
      </c>
    </row>
    <row r="187" spans="1:11" ht="15">
      <c r="A187" s="166">
        <v>44222</v>
      </c>
      <c r="B187" s="28">
        <v>338</v>
      </c>
      <c r="C187" s="168">
        <v>415</v>
      </c>
      <c r="D187" s="28">
        <v>341</v>
      </c>
      <c r="E187" s="115" t="s">
        <v>759</v>
      </c>
      <c r="F187" s="29"/>
      <c r="G187" s="152" t="s">
        <v>154</v>
      </c>
      <c r="H187" s="15"/>
      <c r="I187" s="174">
        <v>73216000</v>
      </c>
      <c r="J187" s="268">
        <v>73216000</v>
      </c>
      <c r="K187" s="112">
        <f t="shared" si="2"/>
        <v>0</v>
      </c>
    </row>
    <row r="188" spans="1:11" ht="15">
      <c r="A188" s="166">
        <v>44222</v>
      </c>
      <c r="B188" s="28">
        <v>311</v>
      </c>
      <c r="C188" s="168">
        <v>407</v>
      </c>
      <c r="D188" s="28">
        <v>347</v>
      </c>
      <c r="E188" s="115" t="s">
        <v>760</v>
      </c>
      <c r="F188" s="29"/>
      <c r="G188" s="152" t="s">
        <v>631</v>
      </c>
      <c r="H188" s="15"/>
      <c r="I188" s="174">
        <v>26106000</v>
      </c>
      <c r="J188" s="268">
        <v>26106000</v>
      </c>
      <c r="K188" s="112">
        <f t="shared" si="2"/>
        <v>0</v>
      </c>
    </row>
    <row r="189" spans="1:11" ht="15">
      <c r="A189" s="166">
        <v>44222</v>
      </c>
      <c r="B189" s="28">
        <v>318</v>
      </c>
      <c r="C189" s="168">
        <v>402</v>
      </c>
      <c r="D189" s="28">
        <v>349</v>
      </c>
      <c r="E189" s="115" t="s">
        <v>761</v>
      </c>
      <c r="F189" s="29"/>
      <c r="G189" s="152" t="s">
        <v>233</v>
      </c>
      <c r="H189" s="15"/>
      <c r="I189" s="174">
        <v>36864000</v>
      </c>
      <c r="J189" s="268">
        <v>36864000</v>
      </c>
      <c r="K189" s="112">
        <f t="shared" si="2"/>
        <v>0</v>
      </c>
    </row>
    <row r="190" spans="1:11" ht="15">
      <c r="A190" s="166">
        <v>44222</v>
      </c>
      <c r="B190" s="28">
        <v>348</v>
      </c>
      <c r="C190" s="168">
        <v>463</v>
      </c>
      <c r="D190" s="28">
        <v>352</v>
      </c>
      <c r="E190" s="115" t="s">
        <v>762</v>
      </c>
      <c r="F190" s="29"/>
      <c r="G190" s="152" t="s">
        <v>632</v>
      </c>
      <c r="H190" s="15"/>
      <c r="I190" s="174">
        <v>28974000</v>
      </c>
      <c r="J190" s="268">
        <v>28974000</v>
      </c>
      <c r="K190" s="112">
        <f t="shared" si="2"/>
        <v>0</v>
      </c>
    </row>
    <row r="191" spans="1:11" ht="15">
      <c r="A191" s="166">
        <v>44222</v>
      </c>
      <c r="B191" s="28">
        <v>353</v>
      </c>
      <c r="C191" s="168">
        <v>477</v>
      </c>
      <c r="D191" s="28">
        <v>353</v>
      </c>
      <c r="E191" s="115" t="s">
        <v>763</v>
      </c>
      <c r="F191" s="29"/>
      <c r="G191" s="152" t="s">
        <v>418</v>
      </c>
      <c r="H191" s="15"/>
      <c r="I191" s="174">
        <v>26100000</v>
      </c>
      <c r="J191" s="268">
        <v>26100000</v>
      </c>
      <c r="K191" s="112">
        <f t="shared" si="2"/>
        <v>0</v>
      </c>
    </row>
    <row r="192" spans="1:11" ht="15">
      <c r="A192" s="166">
        <v>44223</v>
      </c>
      <c r="B192" s="28">
        <v>352</v>
      </c>
      <c r="C192" s="168">
        <v>476</v>
      </c>
      <c r="D192" s="28">
        <v>354</v>
      </c>
      <c r="E192" s="115" t="s">
        <v>764</v>
      </c>
      <c r="F192" s="29"/>
      <c r="G192" s="152" t="s">
        <v>633</v>
      </c>
      <c r="H192" s="15"/>
      <c r="I192" s="174">
        <v>40800000</v>
      </c>
      <c r="J192" s="268">
        <v>40800000</v>
      </c>
      <c r="K192" s="112">
        <f t="shared" si="2"/>
        <v>0</v>
      </c>
    </row>
    <row r="193" spans="1:11" ht="15">
      <c r="A193" s="166">
        <v>44223</v>
      </c>
      <c r="B193" s="28">
        <v>344</v>
      </c>
      <c r="C193" s="168">
        <v>442</v>
      </c>
      <c r="D193" s="28">
        <v>355</v>
      </c>
      <c r="E193" s="115" t="s">
        <v>765</v>
      </c>
      <c r="F193" s="29"/>
      <c r="G193" s="152" t="s">
        <v>634</v>
      </c>
      <c r="H193" s="15"/>
      <c r="I193" s="174">
        <v>39000000</v>
      </c>
      <c r="J193" s="268">
        <v>39000000</v>
      </c>
      <c r="K193" s="112">
        <f t="shared" si="2"/>
        <v>0</v>
      </c>
    </row>
    <row r="194" spans="1:11" ht="15">
      <c r="A194" s="166">
        <v>44223</v>
      </c>
      <c r="B194" s="28">
        <v>343</v>
      </c>
      <c r="C194" s="168">
        <v>437</v>
      </c>
      <c r="D194" s="28">
        <v>370</v>
      </c>
      <c r="E194" s="115" t="s">
        <v>766</v>
      </c>
      <c r="F194" s="29"/>
      <c r="G194" s="152" t="s">
        <v>635</v>
      </c>
      <c r="H194" s="15"/>
      <c r="I194" s="174">
        <v>39000000</v>
      </c>
      <c r="J194" s="268">
        <v>39000000</v>
      </c>
      <c r="K194" s="112">
        <f t="shared" si="2"/>
        <v>0</v>
      </c>
    </row>
    <row r="195" spans="1:11" ht="15">
      <c r="A195" s="166">
        <v>44223</v>
      </c>
      <c r="B195" s="28">
        <v>357</v>
      </c>
      <c r="C195" s="168">
        <v>464</v>
      </c>
      <c r="D195" s="28">
        <v>371</v>
      </c>
      <c r="E195" s="115" t="s">
        <v>767</v>
      </c>
      <c r="F195" s="29"/>
      <c r="G195" s="152" t="s">
        <v>636</v>
      </c>
      <c r="H195" s="15"/>
      <c r="I195" s="174">
        <v>93500000</v>
      </c>
      <c r="J195" s="268">
        <v>93500000</v>
      </c>
      <c r="K195" s="112">
        <f t="shared" si="2"/>
        <v>0</v>
      </c>
    </row>
    <row r="196" spans="1:11" ht="15">
      <c r="A196" s="166">
        <v>44224</v>
      </c>
      <c r="B196" s="28">
        <v>364</v>
      </c>
      <c r="C196" s="168">
        <v>424</v>
      </c>
      <c r="D196" s="28">
        <v>377</v>
      </c>
      <c r="E196" s="115" t="s">
        <v>768</v>
      </c>
      <c r="F196" s="29"/>
      <c r="G196" s="152" t="s">
        <v>637</v>
      </c>
      <c r="H196" s="15"/>
      <c r="I196" s="174">
        <v>39000000</v>
      </c>
      <c r="J196" s="268">
        <v>39000000</v>
      </c>
      <c r="K196" s="112">
        <f t="shared" si="2"/>
        <v>0</v>
      </c>
    </row>
    <row r="197" spans="1:11" ht="15">
      <c r="A197" s="166">
        <v>44224</v>
      </c>
      <c r="B197" s="28">
        <v>368</v>
      </c>
      <c r="C197" s="168">
        <v>461</v>
      </c>
      <c r="D197" s="28">
        <v>380</v>
      </c>
      <c r="E197" s="115" t="s">
        <v>769</v>
      </c>
      <c r="F197" s="29"/>
      <c r="G197" s="152" t="s">
        <v>638</v>
      </c>
      <c r="H197" s="15"/>
      <c r="I197" s="174">
        <v>49152000</v>
      </c>
      <c r="J197" s="268">
        <v>49152000</v>
      </c>
      <c r="K197" s="112">
        <f t="shared" si="2"/>
        <v>0</v>
      </c>
    </row>
    <row r="198" spans="1:11" ht="15">
      <c r="A198" s="166">
        <v>44224</v>
      </c>
      <c r="B198" s="28">
        <v>365</v>
      </c>
      <c r="C198" s="168">
        <v>440</v>
      </c>
      <c r="D198" s="28">
        <v>381</v>
      </c>
      <c r="E198" s="115" t="s">
        <v>694</v>
      </c>
      <c r="F198" s="29"/>
      <c r="G198" s="152" t="s">
        <v>144</v>
      </c>
      <c r="H198" s="15"/>
      <c r="I198" s="174">
        <v>6144000</v>
      </c>
      <c r="J198" s="268">
        <v>6144000</v>
      </c>
      <c r="K198" s="112">
        <f t="shared" si="2"/>
        <v>0</v>
      </c>
    </row>
    <row r="199" spans="1:11" ht="15">
      <c r="A199" s="166">
        <v>44224</v>
      </c>
      <c r="B199" s="28">
        <v>371</v>
      </c>
      <c r="C199" s="168">
        <v>470</v>
      </c>
      <c r="D199" s="28">
        <v>386</v>
      </c>
      <c r="E199" s="115" t="s">
        <v>770</v>
      </c>
      <c r="F199" s="29"/>
      <c r="G199" s="152" t="s">
        <v>326</v>
      </c>
      <c r="H199" s="15"/>
      <c r="I199" s="174">
        <v>41779200</v>
      </c>
      <c r="J199" s="268">
        <v>41779200</v>
      </c>
      <c r="K199" s="112">
        <f t="shared" si="2"/>
        <v>0</v>
      </c>
    </row>
    <row r="200" spans="1:11" ht="15">
      <c r="A200" s="166">
        <v>44224</v>
      </c>
      <c r="B200" s="28">
        <v>361</v>
      </c>
      <c r="C200" s="168">
        <v>468</v>
      </c>
      <c r="D200" s="28">
        <v>390</v>
      </c>
      <c r="E200" s="115" t="s">
        <v>694</v>
      </c>
      <c r="F200" s="29"/>
      <c r="G200" s="152" t="s">
        <v>146</v>
      </c>
      <c r="H200" s="15"/>
      <c r="I200" s="174">
        <f>6144000-1297067</f>
        <v>4846933</v>
      </c>
      <c r="J200" s="268">
        <v>4846933</v>
      </c>
      <c r="K200" s="112">
        <f t="shared" si="2"/>
        <v>0</v>
      </c>
    </row>
    <row r="201" spans="1:11" ht="15">
      <c r="A201" s="166">
        <v>44224</v>
      </c>
      <c r="B201" s="28">
        <v>321</v>
      </c>
      <c r="C201" s="168">
        <v>386</v>
      </c>
      <c r="D201" s="28">
        <v>391</v>
      </c>
      <c r="E201" s="115" t="s">
        <v>668</v>
      </c>
      <c r="F201" s="29"/>
      <c r="G201" s="152" t="s">
        <v>71</v>
      </c>
      <c r="H201" s="15"/>
      <c r="I201" s="174">
        <v>41779200</v>
      </c>
      <c r="J201" s="268">
        <v>41779200</v>
      </c>
      <c r="K201" s="112">
        <f t="shared" si="2"/>
        <v>0</v>
      </c>
    </row>
    <row r="202" spans="1:11" ht="15">
      <c r="A202" s="166">
        <v>44224</v>
      </c>
      <c r="B202" s="28">
        <v>358</v>
      </c>
      <c r="C202" s="168">
        <v>467</v>
      </c>
      <c r="D202" s="28">
        <v>393</v>
      </c>
      <c r="E202" s="115" t="s">
        <v>771</v>
      </c>
      <c r="F202" s="29"/>
      <c r="G202" s="152" t="s">
        <v>639</v>
      </c>
      <c r="H202" s="15"/>
      <c r="I202" s="174">
        <v>36864000</v>
      </c>
      <c r="J202" s="268">
        <v>36864000</v>
      </c>
      <c r="K202" s="112">
        <f t="shared" si="2"/>
        <v>0</v>
      </c>
    </row>
    <row r="203" spans="1:11" ht="15">
      <c r="A203" s="166">
        <v>44225</v>
      </c>
      <c r="B203" s="28">
        <v>322</v>
      </c>
      <c r="C203" s="168">
        <v>325</v>
      </c>
      <c r="D203" s="28">
        <v>397</v>
      </c>
      <c r="E203" s="115" t="s">
        <v>772</v>
      </c>
      <c r="F203" s="29"/>
      <c r="G203" s="152" t="s">
        <v>70</v>
      </c>
      <c r="H203" s="15"/>
      <c r="I203" s="174">
        <f>52224000-40618666</f>
        <v>11605334</v>
      </c>
      <c r="J203" s="268">
        <v>11605334</v>
      </c>
      <c r="K203" s="112">
        <f t="shared" si="2"/>
        <v>0</v>
      </c>
    </row>
    <row r="204" spans="1:11" ht="15">
      <c r="A204" s="166">
        <v>44225</v>
      </c>
      <c r="B204" s="28">
        <v>326</v>
      </c>
      <c r="C204" s="168">
        <v>439</v>
      </c>
      <c r="D204" s="28">
        <v>399</v>
      </c>
      <c r="E204" s="115" t="s">
        <v>694</v>
      </c>
      <c r="F204" s="29"/>
      <c r="G204" s="152" t="s">
        <v>229</v>
      </c>
      <c r="H204" s="15"/>
      <c r="I204" s="174">
        <v>6144000</v>
      </c>
      <c r="J204" s="268">
        <v>6144000</v>
      </c>
      <c r="K204" s="112">
        <f t="shared" si="2"/>
        <v>0</v>
      </c>
    </row>
    <row r="205" spans="1:11" ht="15">
      <c r="A205" s="166">
        <v>44225</v>
      </c>
      <c r="B205" s="168">
        <v>362</v>
      </c>
      <c r="C205" s="28">
        <v>475</v>
      </c>
      <c r="D205" s="28">
        <v>400</v>
      </c>
      <c r="E205" s="115" t="s">
        <v>694</v>
      </c>
      <c r="F205" s="184"/>
      <c r="G205" s="188" t="s">
        <v>640</v>
      </c>
      <c r="H205" s="15"/>
      <c r="I205" s="174">
        <v>6144000</v>
      </c>
      <c r="J205" s="268">
        <v>6144000</v>
      </c>
      <c r="K205" s="112">
        <f t="shared" si="2"/>
        <v>0</v>
      </c>
    </row>
    <row r="206" spans="1:11" ht="15">
      <c r="A206" s="166">
        <v>44225</v>
      </c>
      <c r="B206" s="168">
        <v>327</v>
      </c>
      <c r="C206" s="28">
        <v>441</v>
      </c>
      <c r="D206" s="28">
        <v>402</v>
      </c>
      <c r="E206" s="115" t="s">
        <v>694</v>
      </c>
      <c r="F206" s="184"/>
      <c r="G206" s="188" t="s">
        <v>226</v>
      </c>
      <c r="H206" s="15"/>
      <c r="I206" s="174">
        <v>6144000</v>
      </c>
      <c r="J206" s="268">
        <v>6144000</v>
      </c>
      <c r="K206" s="112">
        <f t="shared" si="3" ref="K206:K277">+I206-J206</f>
        <v>0</v>
      </c>
    </row>
    <row r="207" spans="1:11" ht="15">
      <c r="A207" s="166">
        <v>44228</v>
      </c>
      <c r="B207" s="168" t="s">
        <v>1398</v>
      </c>
      <c r="C207" s="28" t="s">
        <v>367</v>
      </c>
      <c r="D207" s="28" t="s">
        <v>1370</v>
      </c>
      <c r="E207" s="115" t="s">
        <v>694</v>
      </c>
      <c r="F207" s="184"/>
      <c r="G207" s="188" t="s">
        <v>1316</v>
      </c>
      <c r="H207" s="15"/>
      <c r="I207" s="174">
        <v>6144000</v>
      </c>
      <c r="J207" s="268">
        <v>6144000</v>
      </c>
      <c r="K207" s="112">
        <f t="shared" si="3"/>
        <v>0</v>
      </c>
    </row>
    <row r="208" spans="1:11" ht="15">
      <c r="A208" s="166">
        <v>44228</v>
      </c>
      <c r="B208" s="168" t="s">
        <v>1399</v>
      </c>
      <c r="C208" s="28" t="s">
        <v>1125</v>
      </c>
      <c r="D208" s="28" t="s">
        <v>1198</v>
      </c>
      <c r="E208" s="178" t="s">
        <v>1291</v>
      </c>
      <c r="F208" s="184"/>
      <c r="G208" s="188" t="s">
        <v>1317</v>
      </c>
      <c r="H208" s="15"/>
      <c r="I208" s="174">
        <v>23928000</v>
      </c>
      <c r="J208" s="268">
        <v>23928000</v>
      </c>
      <c r="K208" s="112">
        <f t="shared" si="3"/>
        <v>0</v>
      </c>
    </row>
    <row r="209" spans="1:11" ht="15">
      <c r="A209" s="166">
        <v>44228</v>
      </c>
      <c r="B209" s="168" t="s">
        <v>1400</v>
      </c>
      <c r="C209" s="28" t="s">
        <v>897</v>
      </c>
      <c r="D209" s="28" t="s">
        <v>1371</v>
      </c>
      <c r="E209" s="178" t="s">
        <v>668</v>
      </c>
      <c r="F209" s="184"/>
      <c r="G209" s="188" t="s">
        <v>1318</v>
      </c>
      <c r="H209" s="15"/>
      <c r="I209" s="174">
        <v>41779200</v>
      </c>
      <c r="J209" s="268">
        <v>41779200</v>
      </c>
      <c r="K209" s="112">
        <f t="shared" si="3"/>
        <v>0</v>
      </c>
    </row>
    <row r="210" spans="1:11" ht="15">
      <c r="A210" s="166">
        <v>44228</v>
      </c>
      <c r="B210" s="168" t="s">
        <v>1401</v>
      </c>
      <c r="C210" s="28" t="s">
        <v>1372</v>
      </c>
      <c r="D210" s="28" t="s">
        <v>1373</v>
      </c>
      <c r="E210" s="178" t="s">
        <v>1292</v>
      </c>
      <c r="F210" s="184"/>
      <c r="G210" s="188" t="s">
        <v>1319</v>
      </c>
      <c r="H210" s="15"/>
      <c r="I210" s="174">
        <v>48000000</v>
      </c>
      <c r="J210" s="268">
        <v>48000000</v>
      </c>
      <c r="K210" s="112">
        <f t="shared" si="3"/>
        <v>0</v>
      </c>
    </row>
    <row r="211" spans="1:11" ht="15">
      <c r="A211" s="166">
        <v>44228</v>
      </c>
      <c r="B211" s="168" t="s">
        <v>1402</v>
      </c>
      <c r="C211" s="28" t="s">
        <v>884</v>
      </c>
      <c r="D211" s="28" t="s">
        <v>1374</v>
      </c>
      <c r="E211" s="178" t="s">
        <v>700</v>
      </c>
      <c r="F211" s="184"/>
      <c r="G211" s="188" t="s">
        <v>1320</v>
      </c>
      <c r="H211" s="15"/>
      <c r="I211" s="174">
        <v>40000000</v>
      </c>
      <c r="J211" s="268">
        <v>40000000</v>
      </c>
      <c r="K211" s="112">
        <f t="shared" si="3"/>
        <v>0</v>
      </c>
    </row>
    <row r="212" spans="1:11" ht="15">
      <c r="A212" s="166">
        <v>44228</v>
      </c>
      <c r="B212" s="168" t="s">
        <v>1403</v>
      </c>
      <c r="C212" s="28" t="s">
        <v>1375</v>
      </c>
      <c r="D212" s="28" t="s">
        <v>975</v>
      </c>
      <c r="E212" s="178" t="s">
        <v>770</v>
      </c>
      <c r="F212" s="184"/>
      <c r="G212" s="188" t="s">
        <v>1321</v>
      </c>
      <c r="H212" s="15"/>
      <c r="I212" s="174">
        <v>41779200</v>
      </c>
      <c r="J212" s="268">
        <v>41779200</v>
      </c>
      <c r="K212" s="112">
        <f t="shared" si="3"/>
        <v>0</v>
      </c>
    </row>
    <row r="213" spans="1:11" ht="15">
      <c r="A213" s="166">
        <v>44228</v>
      </c>
      <c r="B213" s="168" t="s">
        <v>1172</v>
      </c>
      <c r="C213" s="28" t="s">
        <v>981</v>
      </c>
      <c r="D213" s="28" t="s">
        <v>1376</v>
      </c>
      <c r="E213" s="178" t="s">
        <v>1293</v>
      </c>
      <c r="F213" s="184"/>
      <c r="G213" s="188" t="s">
        <v>1322</v>
      </c>
      <c r="H213" s="15"/>
      <c r="I213" s="174">
        <f>67584000-204800</f>
        <v>67379200</v>
      </c>
      <c r="J213" s="268">
        <v>67379200</v>
      </c>
      <c r="K213" s="112">
        <f t="shared" si="3"/>
        <v>0</v>
      </c>
    </row>
    <row r="214" spans="1:11" ht="15">
      <c r="A214" s="166">
        <v>44228</v>
      </c>
      <c r="B214" s="168" t="s">
        <v>1089</v>
      </c>
      <c r="C214" s="28" t="s">
        <v>1377</v>
      </c>
      <c r="D214" s="28" t="s">
        <v>1241</v>
      </c>
      <c r="E214" s="178" t="s">
        <v>1294</v>
      </c>
      <c r="F214" s="184"/>
      <c r="G214" s="188" t="s">
        <v>1323</v>
      </c>
      <c r="H214" s="15"/>
      <c r="I214" s="174">
        <f>49152000-47718400</f>
        <v>1433600</v>
      </c>
      <c r="J214" s="268">
        <v>1433600</v>
      </c>
      <c r="K214" s="112">
        <f t="shared" si="3"/>
        <v>0</v>
      </c>
    </row>
    <row r="215" spans="1:11" ht="15">
      <c r="A215" s="166">
        <v>44228</v>
      </c>
      <c r="B215" s="168" t="s">
        <v>1404</v>
      </c>
      <c r="C215" s="28" t="s">
        <v>1378</v>
      </c>
      <c r="D215" s="28" t="s">
        <v>1379</v>
      </c>
      <c r="E215" s="178" t="s">
        <v>731</v>
      </c>
      <c r="F215" s="184"/>
      <c r="G215" s="188" t="s">
        <v>1324</v>
      </c>
      <c r="H215" s="15"/>
      <c r="I215" s="174">
        <v>59200000</v>
      </c>
      <c r="J215" s="268">
        <v>59200000</v>
      </c>
      <c r="K215" s="112">
        <f t="shared" si="3"/>
        <v>0</v>
      </c>
    </row>
    <row r="216" spans="1:11" ht="15">
      <c r="A216" s="166">
        <v>44228</v>
      </c>
      <c r="B216" s="168" t="s">
        <v>1405</v>
      </c>
      <c r="C216" s="28" t="s">
        <v>994</v>
      </c>
      <c r="D216" s="28" t="s">
        <v>452</v>
      </c>
      <c r="E216" s="178" t="s">
        <v>1295</v>
      </c>
      <c r="F216" s="184"/>
      <c r="G216" s="188" t="s">
        <v>1325</v>
      </c>
      <c r="H216" s="15"/>
      <c r="I216" s="174">
        <f>23988000-13193400</f>
        <v>10794600</v>
      </c>
      <c r="J216" s="268">
        <v>10794600</v>
      </c>
      <c r="K216" s="112">
        <f t="shared" si="3"/>
        <v>0</v>
      </c>
    </row>
    <row r="217" spans="1:11" ht="15">
      <c r="A217" s="166">
        <v>44229</v>
      </c>
      <c r="B217" s="168" t="s">
        <v>1374</v>
      </c>
      <c r="C217" s="28" t="s">
        <v>1380</v>
      </c>
      <c r="D217" s="28" t="s">
        <v>1381</v>
      </c>
      <c r="E217" s="178" t="s">
        <v>1296</v>
      </c>
      <c r="F217" s="184"/>
      <c r="G217" s="188" t="s">
        <v>1326</v>
      </c>
      <c r="H217" s="15"/>
      <c r="I217" s="174">
        <v>26100000</v>
      </c>
      <c r="J217" s="268">
        <v>26100000</v>
      </c>
      <c r="K217" s="112">
        <f t="shared" si="3"/>
        <v>0</v>
      </c>
    </row>
    <row r="218" spans="1:11" ht="15">
      <c r="A218" s="166">
        <v>44229</v>
      </c>
      <c r="B218" s="168" t="s">
        <v>1406</v>
      </c>
      <c r="C218" s="28" t="s">
        <v>1382</v>
      </c>
      <c r="D218" s="28" t="s">
        <v>1383</v>
      </c>
      <c r="E218" s="178" t="s">
        <v>1297</v>
      </c>
      <c r="F218" s="184"/>
      <c r="G218" s="188" t="s">
        <v>1327</v>
      </c>
      <c r="H218" s="15"/>
      <c r="I218" s="174">
        <v>7987200</v>
      </c>
      <c r="J218" s="268">
        <v>7987200</v>
      </c>
      <c r="K218" s="112">
        <f t="shared" si="3"/>
        <v>0</v>
      </c>
    </row>
    <row r="219" spans="1:11" ht="15">
      <c r="A219" s="166">
        <v>44229</v>
      </c>
      <c r="B219" s="168" t="s">
        <v>1407</v>
      </c>
      <c r="C219" s="28" t="s">
        <v>990</v>
      </c>
      <c r="D219" s="28" t="s">
        <v>987</v>
      </c>
      <c r="E219" s="178" t="s">
        <v>694</v>
      </c>
      <c r="F219" s="184"/>
      <c r="G219" s="188" t="s">
        <v>1328</v>
      </c>
      <c r="H219" s="15"/>
      <c r="I219" s="174">
        <v>6144000</v>
      </c>
      <c r="J219" s="268">
        <v>6144000</v>
      </c>
      <c r="K219" s="112">
        <f t="shared" si="3"/>
        <v>0</v>
      </c>
    </row>
    <row r="220" spans="1:11" ht="15">
      <c r="A220" s="166">
        <v>44230</v>
      </c>
      <c r="B220" s="168" t="s">
        <v>1376</v>
      </c>
      <c r="C220" s="28" t="s">
        <v>1124</v>
      </c>
      <c r="D220" s="28" t="s">
        <v>1118</v>
      </c>
      <c r="E220" s="178" t="s">
        <v>1298</v>
      </c>
      <c r="F220" s="184"/>
      <c r="G220" s="188" t="s">
        <v>1329</v>
      </c>
      <c r="H220" s="15"/>
      <c r="I220" s="174">
        <v>39000000</v>
      </c>
      <c r="J220" s="268">
        <v>39000000</v>
      </c>
      <c r="K220" s="112">
        <f t="shared" si="3"/>
        <v>0</v>
      </c>
    </row>
    <row r="221" spans="1:11" ht="15">
      <c r="A221" s="166">
        <v>44231</v>
      </c>
      <c r="B221" s="168" t="s">
        <v>1408</v>
      </c>
      <c r="C221" s="28" t="s">
        <v>911</v>
      </c>
      <c r="D221" s="28" t="s">
        <v>983</v>
      </c>
      <c r="E221" s="178" t="s">
        <v>694</v>
      </c>
      <c r="F221" s="184"/>
      <c r="G221" s="188" t="s">
        <v>1330</v>
      </c>
      <c r="H221" s="15"/>
      <c r="I221" s="174">
        <v>6144000</v>
      </c>
      <c r="J221" s="268">
        <v>6144000</v>
      </c>
      <c r="K221" s="112">
        <f t="shared" si="3"/>
        <v>0</v>
      </c>
    </row>
    <row r="222" spans="1:11" ht="15">
      <c r="A222" s="166">
        <v>44231</v>
      </c>
      <c r="B222" s="168" t="s">
        <v>1409</v>
      </c>
      <c r="C222" s="28" t="s">
        <v>1278</v>
      </c>
      <c r="D222" s="28" t="s">
        <v>982</v>
      </c>
      <c r="E222" s="178" t="s">
        <v>694</v>
      </c>
      <c r="F222" s="184"/>
      <c r="G222" s="188" t="s">
        <v>1331</v>
      </c>
      <c r="H222" s="15"/>
      <c r="I222" s="174">
        <v>6144000</v>
      </c>
      <c r="J222" s="268">
        <v>6144000</v>
      </c>
      <c r="K222" s="112">
        <f t="shared" si="3"/>
        <v>0</v>
      </c>
    </row>
    <row r="223" spans="1:11" ht="15">
      <c r="A223" s="166">
        <v>44231</v>
      </c>
      <c r="B223" s="168" t="s">
        <v>1370</v>
      </c>
      <c r="C223" s="28" t="s">
        <v>1123</v>
      </c>
      <c r="D223" s="28" t="s">
        <v>1201</v>
      </c>
      <c r="E223" s="178" t="s">
        <v>845</v>
      </c>
      <c r="F223" s="184"/>
      <c r="G223" s="188" t="s">
        <v>1332</v>
      </c>
      <c r="H223" s="15"/>
      <c r="I223" s="174">
        <v>6144000</v>
      </c>
      <c r="J223" s="268">
        <v>6144000</v>
      </c>
      <c r="K223" s="112">
        <f t="shared" si="3"/>
        <v>0</v>
      </c>
    </row>
    <row r="224" spans="1:11" ht="15">
      <c r="A224" s="166">
        <v>44231</v>
      </c>
      <c r="B224" s="168" t="s">
        <v>1175</v>
      </c>
      <c r="C224" s="28" t="s">
        <v>1130</v>
      </c>
      <c r="D224" s="28" t="s">
        <v>1206</v>
      </c>
      <c r="E224" s="178" t="s">
        <v>479</v>
      </c>
      <c r="F224" s="184"/>
      <c r="G224" s="188" t="s">
        <v>1333</v>
      </c>
      <c r="H224" s="15"/>
      <c r="I224" s="174">
        <v>15804000</v>
      </c>
      <c r="J224" s="268">
        <v>15804000</v>
      </c>
      <c r="K224" s="112">
        <f t="shared" si="3"/>
        <v>0</v>
      </c>
    </row>
    <row r="225" spans="1:11" ht="15">
      <c r="A225" s="166">
        <v>44231</v>
      </c>
      <c r="B225" s="168" t="s">
        <v>1270</v>
      </c>
      <c r="C225" s="28" t="s">
        <v>1208</v>
      </c>
      <c r="D225" s="28" t="s">
        <v>1290</v>
      </c>
      <c r="E225" s="178" t="s">
        <v>1299</v>
      </c>
      <c r="F225" s="184"/>
      <c r="G225" s="188" t="s">
        <v>1334</v>
      </c>
      <c r="H225" s="15"/>
      <c r="I225" s="174">
        <v>25800000</v>
      </c>
      <c r="J225" s="268">
        <v>25800000</v>
      </c>
      <c r="K225" s="112">
        <f t="shared" si="3"/>
        <v>0</v>
      </c>
    </row>
    <row r="226" spans="1:11" ht="15">
      <c r="A226" s="166">
        <v>44231</v>
      </c>
      <c r="B226" s="168" t="s">
        <v>1410</v>
      </c>
      <c r="C226" s="28" t="s">
        <v>1384</v>
      </c>
      <c r="D226" s="28" t="s">
        <v>1289</v>
      </c>
      <c r="E226" s="178" t="s">
        <v>668</v>
      </c>
      <c r="F226" s="184"/>
      <c r="G226" s="188" t="s">
        <v>1335</v>
      </c>
      <c r="H226" s="15"/>
      <c r="I226" s="174">
        <v>40800000</v>
      </c>
      <c r="J226" s="268">
        <v>40800000</v>
      </c>
      <c r="K226" s="112">
        <f t="shared" si="3"/>
        <v>0</v>
      </c>
    </row>
    <row r="227" spans="1:11" ht="15">
      <c r="A227" s="166">
        <v>44231</v>
      </c>
      <c r="B227" s="168" t="s">
        <v>1411</v>
      </c>
      <c r="C227" s="28" t="s">
        <v>922</v>
      </c>
      <c r="D227" s="28" t="s">
        <v>1119</v>
      </c>
      <c r="E227" s="178" t="s">
        <v>694</v>
      </c>
      <c r="F227" s="184"/>
      <c r="G227" s="188" t="s">
        <v>1336</v>
      </c>
      <c r="H227" s="15"/>
      <c r="I227" s="174">
        <v>6144000</v>
      </c>
      <c r="J227" s="268">
        <v>6144000</v>
      </c>
      <c r="K227" s="112">
        <f t="shared" si="3"/>
        <v>0</v>
      </c>
    </row>
    <row r="228" spans="1:11" ht="15">
      <c r="A228" s="166">
        <v>44232</v>
      </c>
      <c r="B228" s="168" t="s">
        <v>888</v>
      </c>
      <c r="C228" s="28" t="s">
        <v>1209</v>
      </c>
      <c r="D228" s="28" t="s">
        <v>1269</v>
      </c>
      <c r="E228" s="178" t="s">
        <v>694</v>
      </c>
      <c r="F228" s="184"/>
      <c r="G228" s="188" t="s">
        <v>1337</v>
      </c>
      <c r="H228" s="15"/>
      <c r="I228" s="174">
        <v>6144000</v>
      </c>
      <c r="J228" s="268">
        <v>6144000</v>
      </c>
      <c r="K228" s="112">
        <f t="shared" si="3"/>
        <v>0</v>
      </c>
    </row>
    <row r="229" spans="1:11" ht="15">
      <c r="A229" s="166">
        <v>44232</v>
      </c>
      <c r="B229" s="168" t="s">
        <v>1174</v>
      </c>
      <c r="C229" s="28" t="s">
        <v>1385</v>
      </c>
      <c r="D229" s="28" t="s">
        <v>450</v>
      </c>
      <c r="E229" s="178" t="s">
        <v>694</v>
      </c>
      <c r="F229" s="184"/>
      <c r="G229" s="188" t="s">
        <v>1338</v>
      </c>
      <c r="H229" s="15"/>
      <c r="I229" s="174">
        <v>6144000</v>
      </c>
      <c r="J229" s="268">
        <v>6144000</v>
      </c>
      <c r="K229" s="112">
        <f t="shared" si="3"/>
        <v>0</v>
      </c>
    </row>
    <row r="230" spans="1:11" ht="15">
      <c r="A230" s="166">
        <v>44232</v>
      </c>
      <c r="B230" s="168" t="s">
        <v>1383</v>
      </c>
      <c r="C230" s="28" t="s">
        <v>920</v>
      </c>
      <c r="D230" s="28" t="s">
        <v>985</v>
      </c>
      <c r="E230" s="178" t="s">
        <v>694</v>
      </c>
      <c r="F230" s="184"/>
      <c r="G230" s="188" t="s">
        <v>1339</v>
      </c>
      <c r="H230" s="15"/>
      <c r="I230" s="174">
        <v>6144000</v>
      </c>
      <c r="J230" s="268">
        <v>6144000</v>
      </c>
      <c r="K230" s="112">
        <f t="shared" si="3"/>
        <v>0</v>
      </c>
    </row>
    <row r="231" spans="1:11" ht="15">
      <c r="A231" s="166">
        <v>44232</v>
      </c>
      <c r="B231" s="168" t="s">
        <v>897</v>
      </c>
      <c r="C231" s="28" t="s">
        <v>1204</v>
      </c>
      <c r="D231" s="28" t="s">
        <v>1386</v>
      </c>
      <c r="E231" s="178" t="s">
        <v>846</v>
      </c>
      <c r="F231" s="184"/>
      <c r="G231" s="188" t="s">
        <v>1340</v>
      </c>
      <c r="H231" s="15"/>
      <c r="I231" s="174">
        <v>15804000</v>
      </c>
      <c r="J231" s="268">
        <v>15804000</v>
      </c>
      <c r="K231" s="112">
        <f t="shared" si="3"/>
        <v>0</v>
      </c>
    </row>
    <row r="232" spans="1:11" ht="15">
      <c r="A232" s="166">
        <v>44232</v>
      </c>
      <c r="B232" s="168" t="s">
        <v>896</v>
      </c>
      <c r="C232" s="28" t="s">
        <v>901</v>
      </c>
      <c r="D232" s="28" t="s">
        <v>367</v>
      </c>
      <c r="E232" s="178" t="s">
        <v>668</v>
      </c>
      <c r="F232" s="184"/>
      <c r="G232" s="188" t="s">
        <v>1341</v>
      </c>
      <c r="H232" s="15"/>
      <c r="I232" s="174">
        <v>36000000</v>
      </c>
      <c r="J232" s="268">
        <v>35400000</v>
      </c>
      <c r="K232" s="112">
        <f t="shared" si="3"/>
        <v>600000</v>
      </c>
    </row>
    <row r="233" spans="1:11" ht="15">
      <c r="A233" s="166">
        <v>44235</v>
      </c>
      <c r="B233" s="168" t="s">
        <v>1090</v>
      </c>
      <c r="C233" s="28" t="s">
        <v>1387</v>
      </c>
      <c r="D233" s="28" t="s">
        <v>1388</v>
      </c>
      <c r="E233" s="178" t="s">
        <v>694</v>
      </c>
      <c r="F233" s="184"/>
      <c r="G233" s="188" t="s">
        <v>1342</v>
      </c>
      <c r="H233" s="15"/>
      <c r="I233" s="174">
        <v>6144000</v>
      </c>
      <c r="J233" s="268">
        <v>6144000</v>
      </c>
      <c r="K233" s="112">
        <f t="shared" si="3"/>
        <v>0</v>
      </c>
    </row>
    <row r="234" spans="1:11" ht="15">
      <c r="A234" s="166">
        <v>44235</v>
      </c>
      <c r="B234" s="168" t="s">
        <v>1412</v>
      </c>
      <c r="C234" s="28" t="s">
        <v>1234</v>
      </c>
      <c r="D234" s="28" t="s">
        <v>1267</v>
      </c>
      <c r="E234" s="178" t="s">
        <v>694</v>
      </c>
      <c r="F234" s="184"/>
      <c r="G234" s="188" t="s">
        <v>1343</v>
      </c>
      <c r="H234" s="15"/>
      <c r="I234" s="174">
        <v>6144000</v>
      </c>
      <c r="J234" s="268">
        <v>6144000</v>
      </c>
      <c r="K234" s="112">
        <f t="shared" si="3"/>
        <v>0</v>
      </c>
    </row>
    <row r="235" spans="1:11" ht="15">
      <c r="A235" s="166">
        <v>44235</v>
      </c>
      <c r="B235" s="168" t="s">
        <v>886</v>
      </c>
      <c r="C235" s="28" t="s">
        <v>1127</v>
      </c>
      <c r="D235" s="28" t="s">
        <v>894</v>
      </c>
      <c r="E235" s="178" t="s">
        <v>694</v>
      </c>
      <c r="F235" s="184"/>
      <c r="G235" s="188" t="s">
        <v>1344</v>
      </c>
      <c r="H235" s="15"/>
      <c r="I235" s="174">
        <v>6144000</v>
      </c>
      <c r="J235" s="268">
        <v>6144000</v>
      </c>
      <c r="K235" s="112">
        <f t="shared" si="3"/>
        <v>0</v>
      </c>
    </row>
    <row r="236" spans="1:11" ht="15">
      <c r="A236" s="166">
        <v>44235</v>
      </c>
      <c r="B236" s="168" t="s">
        <v>1413</v>
      </c>
      <c r="C236" s="28" t="s">
        <v>448</v>
      </c>
      <c r="D236" s="28" t="s">
        <v>990</v>
      </c>
      <c r="E236" s="178" t="s">
        <v>694</v>
      </c>
      <c r="F236" s="184"/>
      <c r="G236" s="188" t="s">
        <v>1345</v>
      </c>
      <c r="H236" s="15"/>
      <c r="I236" s="174">
        <v>6144000</v>
      </c>
      <c r="J236" s="268">
        <v>6144000</v>
      </c>
      <c r="K236" s="112">
        <f t="shared" si="3"/>
        <v>0</v>
      </c>
    </row>
    <row r="237" spans="1:11" ht="15">
      <c r="A237" s="166">
        <v>44236</v>
      </c>
      <c r="B237" s="168" t="s">
        <v>1232</v>
      </c>
      <c r="C237" s="28" t="s">
        <v>1004</v>
      </c>
      <c r="D237" s="28" t="s">
        <v>1124</v>
      </c>
      <c r="E237" s="178" t="s">
        <v>694</v>
      </c>
      <c r="F237" s="184"/>
      <c r="G237" s="188" t="s">
        <v>1346</v>
      </c>
      <c r="H237" s="15"/>
      <c r="I237" s="174">
        <v>6144000</v>
      </c>
      <c r="J237" s="268">
        <v>6144000</v>
      </c>
      <c r="K237" s="112">
        <f t="shared" si="3"/>
        <v>0</v>
      </c>
    </row>
    <row r="238" spans="1:11" ht="15">
      <c r="A238" s="166">
        <v>44236</v>
      </c>
      <c r="B238" s="168" t="s">
        <v>1091</v>
      </c>
      <c r="C238" s="28" t="s">
        <v>1097</v>
      </c>
      <c r="D238" s="28" t="s">
        <v>1125</v>
      </c>
      <c r="E238" s="178" t="s">
        <v>694</v>
      </c>
      <c r="F238" s="184"/>
      <c r="G238" s="188" t="s">
        <v>1347</v>
      </c>
      <c r="H238" s="15"/>
      <c r="I238" s="174">
        <v>6144000</v>
      </c>
      <c r="J238" s="268">
        <v>6144000</v>
      </c>
      <c r="K238" s="112">
        <f t="shared" si="3"/>
        <v>0</v>
      </c>
    </row>
    <row r="239" spans="1:11" ht="15">
      <c r="A239" s="166">
        <v>44236</v>
      </c>
      <c r="B239" s="168" t="s">
        <v>1386</v>
      </c>
      <c r="C239" s="28" t="s">
        <v>1389</v>
      </c>
      <c r="D239" s="28" t="s">
        <v>993</v>
      </c>
      <c r="E239" s="178" t="s">
        <v>1292</v>
      </c>
      <c r="F239" s="184"/>
      <c r="G239" s="188" t="s">
        <v>1348</v>
      </c>
      <c r="H239" s="15"/>
      <c r="I239" s="174">
        <v>44236800</v>
      </c>
      <c r="J239" s="268">
        <v>44236800</v>
      </c>
      <c r="K239" s="112">
        <f t="shared" si="3"/>
        <v>0</v>
      </c>
    </row>
    <row r="240" spans="1:11" ht="15">
      <c r="A240" s="166">
        <v>44237</v>
      </c>
      <c r="B240" s="168" t="s">
        <v>1381</v>
      </c>
      <c r="C240" s="28" t="s">
        <v>1104</v>
      </c>
      <c r="D240" s="28" t="s">
        <v>1127</v>
      </c>
      <c r="E240" s="178" t="s">
        <v>1300</v>
      </c>
      <c r="F240" s="184"/>
      <c r="G240" s="188" t="s">
        <v>1349</v>
      </c>
      <c r="H240" s="15"/>
      <c r="I240" s="174">
        <v>6144000</v>
      </c>
      <c r="J240" s="268">
        <v>6144000</v>
      </c>
      <c r="K240" s="112">
        <f t="shared" si="3"/>
        <v>0</v>
      </c>
    </row>
    <row r="241" spans="1:11" ht="15">
      <c r="A241" s="166">
        <v>44237</v>
      </c>
      <c r="B241" s="168" t="s">
        <v>1267</v>
      </c>
      <c r="C241" s="28" t="s">
        <v>1007</v>
      </c>
      <c r="D241" s="28" t="s">
        <v>900</v>
      </c>
      <c r="E241" s="178" t="s">
        <v>1301</v>
      </c>
      <c r="F241" s="184"/>
      <c r="G241" s="188" t="s">
        <v>1350</v>
      </c>
      <c r="H241" s="15"/>
      <c r="I241" s="174">
        <v>9830400</v>
      </c>
      <c r="J241" s="268">
        <v>9830400</v>
      </c>
      <c r="K241" s="112">
        <f t="shared" si="3"/>
        <v>0</v>
      </c>
    </row>
    <row r="242" spans="1:11" ht="15">
      <c r="A242" s="166">
        <v>44237</v>
      </c>
      <c r="B242" s="168" t="s">
        <v>1388</v>
      </c>
      <c r="C242" s="28" t="s">
        <v>1102</v>
      </c>
      <c r="D242" s="28" t="s">
        <v>1380</v>
      </c>
      <c r="E242" s="178" t="s">
        <v>1302</v>
      </c>
      <c r="F242" s="184"/>
      <c r="G242" s="188" t="s">
        <v>1351</v>
      </c>
      <c r="H242" s="15"/>
      <c r="I242" s="174">
        <v>26166000</v>
      </c>
      <c r="J242" s="268">
        <v>26166000</v>
      </c>
      <c r="K242" s="112">
        <f t="shared" si="3"/>
        <v>0</v>
      </c>
    </row>
    <row r="243" spans="1:11" ht="15">
      <c r="A243" s="166">
        <v>44238</v>
      </c>
      <c r="B243" s="168" t="s">
        <v>894</v>
      </c>
      <c r="C243" s="28" t="s">
        <v>998</v>
      </c>
      <c r="D243" s="28" t="s">
        <v>998</v>
      </c>
      <c r="E243" s="178" t="s">
        <v>1303</v>
      </c>
      <c r="F243" s="184"/>
      <c r="G243" s="188" t="s">
        <v>1352</v>
      </c>
      <c r="H243" s="15"/>
      <c r="I243" s="174">
        <v>39000000</v>
      </c>
      <c r="J243" s="268">
        <v>39000000</v>
      </c>
      <c r="K243" s="112">
        <f t="shared" si="3"/>
        <v>0</v>
      </c>
    </row>
    <row r="244" spans="1:11" ht="15">
      <c r="A244" s="166">
        <v>44238</v>
      </c>
      <c r="B244" s="168" t="s">
        <v>1414</v>
      </c>
      <c r="C244" s="28" t="s">
        <v>986</v>
      </c>
      <c r="D244" s="28" t="s">
        <v>958</v>
      </c>
      <c r="E244" s="178" t="s">
        <v>845</v>
      </c>
      <c r="F244" s="184"/>
      <c r="G244" s="188" t="s">
        <v>1353</v>
      </c>
      <c r="H244" s="15"/>
      <c r="I244" s="174">
        <v>6144000</v>
      </c>
      <c r="J244" s="268">
        <v>6144000</v>
      </c>
      <c r="K244" s="112">
        <f t="shared" si="3"/>
        <v>0</v>
      </c>
    </row>
    <row r="245" spans="1:11" ht="15">
      <c r="A245" s="166">
        <v>44238</v>
      </c>
      <c r="B245" s="168" t="s">
        <v>1179</v>
      </c>
      <c r="C245" s="28" t="s">
        <v>1186</v>
      </c>
      <c r="D245" s="28" t="s">
        <v>1207</v>
      </c>
      <c r="E245" s="178" t="s">
        <v>1304</v>
      </c>
      <c r="F245" s="184"/>
      <c r="G245" s="188" t="s">
        <v>1354</v>
      </c>
      <c r="H245" s="15"/>
      <c r="I245" s="174">
        <v>11994000</v>
      </c>
      <c r="J245" s="268">
        <v>11994000</v>
      </c>
      <c r="K245" s="112">
        <f t="shared" si="3"/>
        <v>0</v>
      </c>
    </row>
    <row r="246" spans="1:11" ht="15">
      <c r="A246" s="166">
        <v>44238</v>
      </c>
      <c r="B246" s="168" t="s">
        <v>1178</v>
      </c>
      <c r="C246" s="28" t="s">
        <v>941</v>
      </c>
      <c r="D246" s="28" t="s">
        <v>1245</v>
      </c>
      <c r="E246" s="178" t="s">
        <v>1300</v>
      </c>
      <c r="F246" s="184"/>
      <c r="G246" s="188" t="s">
        <v>1355</v>
      </c>
      <c r="H246" s="15"/>
      <c r="I246" s="174">
        <v>6144000</v>
      </c>
      <c r="J246" s="268">
        <v>6144000</v>
      </c>
      <c r="K246" s="112">
        <f t="shared" si="3"/>
        <v>0</v>
      </c>
    </row>
    <row r="247" spans="1:11" ht="15">
      <c r="A247" s="166">
        <v>44238</v>
      </c>
      <c r="B247" s="168" t="s">
        <v>898</v>
      </c>
      <c r="C247" s="28" t="s">
        <v>1390</v>
      </c>
      <c r="D247" s="28" t="s">
        <v>907</v>
      </c>
      <c r="E247" s="178" t="s">
        <v>1305</v>
      </c>
      <c r="F247" s="184"/>
      <c r="G247" s="188" t="s">
        <v>1356</v>
      </c>
      <c r="H247" s="15"/>
      <c r="I247" s="174">
        <v>40800000</v>
      </c>
      <c r="J247" s="268">
        <v>40800000</v>
      </c>
      <c r="K247" s="112">
        <f t="shared" si="3"/>
        <v>0</v>
      </c>
    </row>
    <row r="248" spans="1:11" ht="15">
      <c r="A248" s="166">
        <v>44239</v>
      </c>
      <c r="B248" s="168" t="s">
        <v>1231</v>
      </c>
      <c r="C248" s="28" t="s">
        <v>936</v>
      </c>
      <c r="D248" s="28" t="s">
        <v>947</v>
      </c>
      <c r="E248" s="178" t="s">
        <v>694</v>
      </c>
      <c r="F248" s="184"/>
      <c r="G248" s="188" t="s">
        <v>1357</v>
      </c>
      <c r="H248" s="15"/>
      <c r="I248" s="174">
        <v>6144000</v>
      </c>
      <c r="J248" s="268">
        <v>6144000</v>
      </c>
      <c r="K248" s="112">
        <f t="shared" si="3"/>
        <v>0</v>
      </c>
    </row>
    <row r="249" spans="1:11" ht="15">
      <c r="A249" s="166">
        <v>44239</v>
      </c>
      <c r="B249" s="168" t="s">
        <v>919</v>
      </c>
      <c r="C249" s="28" t="s">
        <v>1193</v>
      </c>
      <c r="D249" s="28" t="s">
        <v>1000</v>
      </c>
      <c r="E249" s="178" t="s">
        <v>1306</v>
      </c>
      <c r="F249" s="184"/>
      <c r="G249" s="188" t="s">
        <v>1358</v>
      </c>
      <c r="H249" s="15"/>
      <c r="I249" s="174">
        <v>52200000</v>
      </c>
      <c r="J249" s="268">
        <v>52200000</v>
      </c>
      <c r="K249" s="112">
        <f t="shared" si="3"/>
        <v>0</v>
      </c>
    </row>
    <row r="250" spans="1:11" ht="15">
      <c r="A250" s="166">
        <v>44239</v>
      </c>
      <c r="B250" s="168" t="s">
        <v>911</v>
      </c>
      <c r="C250" s="28" t="s">
        <v>950</v>
      </c>
      <c r="D250" s="28" t="s">
        <v>1001</v>
      </c>
      <c r="E250" s="178" t="s">
        <v>1307</v>
      </c>
      <c r="F250" s="184"/>
      <c r="G250" s="188" t="s">
        <v>1359</v>
      </c>
      <c r="H250" s="15"/>
      <c r="I250" s="174">
        <v>15000000</v>
      </c>
      <c r="J250" s="268">
        <v>15000000</v>
      </c>
      <c r="K250" s="112">
        <f t="shared" si="3"/>
        <v>0</v>
      </c>
    </row>
    <row r="251" spans="1:11" ht="15">
      <c r="A251" s="166">
        <v>44242</v>
      </c>
      <c r="B251" s="168" t="s">
        <v>1189</v>
      </c>
      <c r="C251" s="28" t="s">
        <v>955</v>
      </c>
      <c r="D251" s="28" t="s">
        <v>1391</v>
      </c>
      <c r="E251" s="178" t="s">
        <v>1308</v>
      </c>
      <c r="F251" s="184"/>
      <c r="G251" s="188" t="s">
        <v>1360</v>
      </c>
      <c r="H251" s="15"/>
      <c r="I251" s="174">
        <v>7680000</v>
      </c>
      <c r="J251" s="268">
        <v>7680000</v>
      </c>
      <c r="K251" s="112">
        <f t="shared" si="3"/>
        <v>0</v>
      </c>
    </row>
    <row r="252" spans="1:11" ht="15">
      <c r="A252" s="166">
        <v>44242</v>
      </c>
      <c r="B252" s="168" t="s">
        <v>1415</v>
      </c>
      <c r="C252" s="28" t="s">
        <v>952</v>
      </c>
      <c r="D252" s="28" t="s">
        <v>1390</v>
      </c>
      <c r="E252" s="178" t="s">
        <v>1309</v>
      </c>
      <c r="F252" s="184"/>
      <c r="G252" s="188" t="s">
        <v>1361</v>
      </c>
      <c r="H252" s="15"/>
      <c r="I252" s="174">
        <v>26166000</v>
      </c>
      <c r="J252" s="268">
        <v>26166000</v>
      </c>
      <c r="K252" s="112">
        <f t="shared" si="3"/>
        <v>0</v>
      </c>
    </row>
    <row r="253" spans="1:11" ht="15">
      <c r="A253" s="166">
        <v>44242</v>
      </c>
      <c r="B253" s="168" t="s">
        <v>1278</v>
      </c>
      <c r="C253" s="28" t="s">
        <v>1111</v>
      </c>
      <c r="D253" s="28" t="s">
        <v>1004</v>
      </c>
      <c r="E253" s="178" t="s">
        <v>1310</v>
      </c>
      <c r="F253" s="184"/>
      <c r="G253" s="188" t="s">
        <v>1362</v>
      </c>
      <c r="H253" s="15"/>
      <c r="I253" s="174">
        <v>7680000</v>
      </c>
      <c r="J253" s="268">
        <v>7680000</v>
      </c>
      <c r="K253" s="112">
        <f t="shared" si="3"/>
        <v>0</v>
      </c>
    </row>
    <row r="254" spans="1:11" ht="15">
      <c r="A254" s="166">
        <v>44242</v>
      </c>
      <c r="B254" s="168" t="s">
        <v>918</v>
      </c>
      <c r="C254" s="28" t="s">
        <v>961</v>
      </c>
      <c r="D254" s="28" t="s">
        <v>1006</v>
      </c>
      <c r="E254" s="178" t="s">
        <v>1311</v>
      </c>
      <c r="F254" s="184"/>
      <c r="G254" s="188" t="s">
        <v>1363</v>
      </c>
      <c r="H254" s="15"/>
      <c r="I254" s="174">
        <v>7680000</v>
      </c>
      <c r="J254" s="268">
        <v>7680000</v>
      </c>
      <c r="K254" s="112">
        <f t="shared" si="3"/>
        <v>0</v>
      </c>
    </row>
    <row r="255" spans="1:11" ht="15">
      <c r="A255" s="166">
        <v>44242</v>
      </c>
      <c r="B255" s="168" t="s">
        <v>920</v>
      </c>
      <c r="C255" s="28" t="s">
        <v>1392</v>
      </c>
      <c r="D255" s="28" t="s">
        <v>1389</v>
      </c>
      <c r="E255" s="178" t="s">
        <v>1312</v>
      </c>
      <c r="F255" s="184"/>
      <c r="G255" s="188" t="s">
        <v>1364</v>
      </c>
      <c r="H255" s="15"/>
      <c r="I255" s="174">
        <v>48000000</v>
      </c>
      <c r="J255" s="268">
        <v>48000000</v>
      </c>
      <c r="K255" s="112">
        <f t="shared" si="3"/>
        <v>0</v>
      </c>
    </row>
    <row r="256" spans="1:11" ht="15">
      <c r="A256" s="166">
        <v>44242</v>
      </c>
      <c r="B256" s="168" t="s">
        <v>1234</v>
      </c>
      <c r="C256" s="28" t="s">
        <v>1393</v>
      </c>
      <c r="D256" s="28" t="s">
        <v>916</v>
      </c>
      <c r="E256" s="178" t="s">
        <v>724</v>
      </c>
      <c r="F256" s="184"/>
      <c r="G256" s="188" t="s">
        <v>1365</v>
      </c>
      <c r="H256" s="15"/>
      <c r="I256" s="174">
        <v>7680000</v>
      </c>
      <c r="J256" s="268">
        <v>7680000</v>
      </c>
      <c r="K256" s="112">
        <f t="shared" si="3"/>
        <v>0</v>
      </c>
    </row>
    <row r="257" spans="1:11" ht="15">
      <c r="A257" s="166">
        <v>44242</v>
      </c>
      <c r="B257" s="168" t="s">
        <v>900</v>
      </c>
      <c r="C257" s="28" t="s">
        <v>959</v>
      </c>
      <c r="D257" s="28" t="s">
        <v>1180</v>
      </c>
      <c r="E257" s="178" t="s">
        <v>1060</v>
      </c>
      <c r="F257" s="184"/>
      <c r="G257" s="188" t="s">
        <v>1366</v>
      </c>
      <c r="H257" s="15"/>
      <c r="I257" s="174">
        <v>6144000</v>
      </c>
      <c r="J257" s="268">
        <v>6144000</v>
      </c>
      <c r="K257" s="112">
        <f t="shared" si="3"/>
        <v>0</v>
      </c>
    </row>
    <row r="258" spans="1:11" ht="15">
      <c r="A258" s="166">
        <v>44244</v>
      </c>
      <c r="B258" s="168" t="s">
        <v>1380</v>
      </c>
      <c r="C258" s="28" t="s">
        <v>968</v>
      </c>
      <c r="D258" s="28" t="s">
        <v>924</v>
      </c>
      <c r="E258" s="178" t="s">
        <v>1313</v>
      </c>
      <c r="F258" s="184"/>
      <c r="G258" s="188" t="s">
        <v>1367</v>
      </c>
      <c r="H258" s="15"/>
      <c r="I258" s="174">
        <v>7500000</v>
      </c>
      <c r="J258" s="241">
        <v>7500000</v>
      </c>
      <c r="K258" s="112">
        <f t="shared" si="3"/>
        <v>0</v>
      </c>
    </row>
    <row r="259" spans="1:11" ht="15">
      <c r="A259" s="166">
        <v>44246</v>
      </c>
      <c r="B259" s="168" t="s">
        <v>928</v>
      </c>
      <c r="C259" s="28" t="s">
        <v>1394</v>
      </c>
      <c r="D259" s="28" t="s">
        <v>1395</v>
      </c>
      <c r="E259" s="178" t="s">
        <v>1314</v>
      </c>
      <c r="F259" s="184"/>
      <c r="G259" s="188" t="s">
        <v>1368</v>
      </c>
      <c r="H259" s="15"/>
      <c r="I259" s="174">
        <v>9830400</v>
      </c>
      <c r="J259" s="268">
        <v>9830400</v>
      </c>
      <c r="K259" s="112">
        <f t="shared" si="3"/>
        <v>0</v>
      </c>
    </row>
    <row r="260" spans="1:11" ht="15">
      <c r="A260" s="166">
        <v>44250</v>
      </c>
      <c r="B260" s="168" t="s">
        <v>1390</v>
      </c>
      <c r="C260" s="28" t="s">
        <v>1396</v>
      </c>
      <c r="D260" s="28" t="s">
        <v>1397</v>
      </c>
      <c r="E260" s="178" t="s">
        <v>1315</v>
      </c>
      <c r="F260" s="184"/>
      <c r="G260" s="188" t="s">
        <v>1369</v>
      </c>
      <c r="H260" s="15"/>
      <c r="I260" s="174">
        <v>72000000</v>
      </c>
      <c r="J260" s="268">
        <v>72000000</v>
      </c>
      <c r="K260" s="112">
        <f t="shared" si="3"/>
        <v>0</v>
      </c>
    </row>
    <row r="261" spans="1:11" ht="15">
      <c r="A261" s="166">
        <v>44259</v>
      </c>
      <c r="B261" s="168" t="s">
        <v>1180</v>
      </c>
      <c r="C261" s="28" t="s">
        <v>1672</v>
      </c>
      <c r="D261" s="28" t="s">
        <v>1698</v>
      </c>
      <c r="E261" s="178" t="s">
        <v>1691</v>
      </c>
      <c r="F261" s="184"/>
      <c r="G261" s="188" t="s">
        <v>1684</v>
      </c>
      <c r="H261" s="15"/>
      <c r="I261" s="174">
        <v>12288000</v>
      </c>
      <c r="J261" s="268">
        <v>12288000</v>
      </c>
      <c r="K261" s="112">
        <f t="shared" si="3"/>
        <v>0</v>
      </c>
    </row>
    <row r="262" spans="1:11" ht="15">
      <c r="A262" s="166">
        <v>44260</v>
      </c>
      <c r="B262" s="168" t="s">
        <v>1104</v>
      </c>
      <c r="C262" s="28" t="s">
        <v>1699</v>
      </c>
      <c r="D262" s="28" t="s">
        <v>957</v>
      </c>
      <c r="E262" s="178" t="s">
        <v>1692</v>
      </c>
      <c r="F262" s="184"/>
      <c r="G262" s="188" t="s">
        <v>1685</v>
      </c>
      <c r="H262" s="15"/>
      <c r="I262" s="174">
        <v>30000000</v>
      </c>
      <c r="J262" s="268">
        <v>30000000</v>
      </c>
      <c r="K262" s="112">
        <f t="shared" si="3"/>
        <v>0</v>
      </c>
    </row>
    <row r="263" spans="1:11" ht="15">
      <c r="A263" s="166">
        <v>44263</v>
      </c>
      <c r="B263" s="168" t="s">
        <v>1454</v>
      </c>
      <c r="C263" s="28" t="s">
        <v>1579</v>
      </c>
      <c r="D263" s="28" t="s">
        <v>964</v>
      </c>
      <c r="E263" s="178" t="s">
        <v>1693</v>
      </c>
      <c r="F263" s="184"/>
      <c r="G263" s="188" t="s">
        <v>1686</v>
      </c>
      <c r="H263" s="15"/>
      <c r="I263" s="174">
        <v>15360000</v>
      </c>
      <c r="J263" s="268">
        <v>15360000</v>
      </c>
      <c r="K263" s="112">
        <f t="shared" si="3"/>
        <v>0</v>
      </c>
    </row>
    <row r="264" spans="1:11" ht="15">
      <c r="A264" s="166">
        <v>44264</v>
      </c>
      <c r="B264" s="168" t="s">
        <v>1106</v>
      </c>
      <c r="C264" s="28" t="s">
        <v>1700</v>
      </c>
      <c r="D264" s="28" t="s">
        <v>1539</v>
      </c>
      <c r="E264" s="178" t="s">
        <v>1694</v>
      </c>
      <c r="F264" s="184"/>
      <c r="G264" s="188" t="s">
        <v>1687</v>
      </c>
      <c r="H264" s="15"/>
      <c r="I264" s="174">
        <v>33000000</v>
      </c>
      <c r="J264" s="268">
        <v>33000000</v>
      </c>
      <c r="K264" s="112">
        <f t="shared" si="3"/>
        <v>0</v>
      </c>
    </row>
    <row r="265" spans="1:11" ht="15">
      <c r="A265" s="166">
        <v>44270</v>
      </c>
      <c r="B265" s="168" t="s">
        <v>1099</v>
      </c>
      <c r="C265" s="28" t="s">
        <v>918</v>
      </c>
      <c r="D265" s="28" t="s">
        <v>1575</v>
      </c>
      <c r="E265" s="178" t="s">
        <v>1695</v>
      </c>
      <c r="F265" s="184"/>
      <c r="G265" s="188" t="s">
        <v>1688</v>
      </c>
      <c r="H265" s="15"/>
      <c r="I265" s="174">
        <v>839800000</v>
      </c>
      <c r="J265" s="268">
        <v>839800000</v>
      </c>
      <c r="K265" s="112">
        <f t="shared" si="3"/>
        <v>0</v>
      </c>
    </row>
    <row r="266" spans="1:11" ht="15">
      <c r="A266" s="166">
        <v>44270</v>
      </c>
      <c r="B266" s="168" t="s">
        <v>1099</v>
      </c>
      <c r="C266" s="28" t="s">
        <v>918</v>
      </c>
      <c r="D266" s="28" t="s">
        <v>1575</v>
      </c>
      <c r="E266" s="178" t="s">
        <v>1695</v>
      </c>
      <c r="F266" s="184"/>
      <c r="G266" s="188" t="s">
        <v>1688</v>
      </c>
      <c r="H266" s="15"/>
      <c r="I266" s="174">
        <v>162200000</v>
      </c>
      <c r="J266" s="268">
        <v>162200000</v>
      </c>
      <c r="K266" s="112">
        <f t="shared" si="3"/>
        <v>0</v>
      </c>
    </row>
    <row r="267" spans="1:11" ht="15">
      <c r="A267" s="166">
        <v>44280</v>
      </c>
      <c r="B267" s="168" t="s">
        <v>1114</v>
      </c>
      <c r="C267" s="28" t="s">
        <v>1485</v>
      </c>
      <c r="D267" s="28" t="s">
        <v>1586</v>
      </c>
      <c r="E267" s="178" t="s">
        <v>1696</v>
      </c>
      <c r="F267" s="184"/>
      <c r="G267" s="188" t="s">
        <v>1689</v>
      </c>
      <c r="H267" s="15"/>
      <c r="I267" s="174">
        <v>77200000</v>
      </c>
      <c r="J267" s="268">
        <v>77200000</v>
      </c>
      <c r="K267" s="112">
        <f t="shared" si="3"/>
        <v>0</v>
      </c>
    </row>
    <row r="268" spans="1:11" ht="15">
      <c r="A268" s="166">
        <v>44284</v>
      </c>
      <c r="B268" s="168" t="s">
        <v>1702</v>
      </c>
      <c r="C268" s="28" t="s">
        <v>1701</v>
      </c>
      <c r="D268" s="28" t="s">
        <v>1578</v>
      </c>
      <c r="E268" s="178" t="s">
        <v>1697</v>
      </c>
      <c r="F268" s="184"/>
      <c r="G268" s="188" t="s">
        <v>1690</v>
      </c>
      <c r="H268" s="15"/>
      <c r="I268" s="174">
        <f>1300000-4225</f>
        <v>1295775</v>
      </c>
      <c r="J268" s="268">
        <v>1295775</v>
      </c>
      <c r="K268" s="112">
        <f t="shared" si="3"/>
        <v>0</v>
      </c>
    </row>
    <row r="269" spans="1:11" ht="15">
      <c r="A269" s="166">
        <v>44295</v>
      </c>
      <c r="B269" s="168" t="s">
        <v>1844</v>
      </c>
      <c r="C269" s="28" t="s">
        <v>1892</v>
      </c>
      <c r="D269" s="28" t="s">
        <v>1604</v>
      </c>
      <c r="E269" s="178" t="s">
        <v>1906</v>
      </c>
      <c r="F269" s="184"/>
      <c r="G269" s="188" t="s">
        <v>1165</v>
      </c>
      <c r="H269" s="15"/>
      <c r="I269" s="174">
        <v>741602</v>
      </c>
      <c r="J269" s="268">
        <v>741602</v>
      </c>
      <c r="K269" s="112">
        <f t="shared" si="3"/>
        <v>0</v>
      </c>
    </row>
    <row r="270" spans="1:11" ht="15">
      <c r="A270" s="166">
        <v>44299</v>
      </c>
      <c r="B270" s="168" t="s">
        <v>1190</v>
      </c>
      <c r="C270" s="28" t="s">
        <v>1789</v>
      </c>
      <c r="D270" s="28" t="s">
        <v>1893</v>
      </c>
      <c r="E270" s="178" t="s">
        <v>1907</v>
      </c>
      <c r="F270" s="184"/>
      <c r="G270" s="188" t="s">
        <v>1915</v>
      </c>
      <c r="H270" s="15"/>
      <c r="I270" s="174">
        <v>36000000</v>
      </c>
      <c r="J270" s="268">
        <v>36000000</v>
      </c>
      <c r="K270" s="112">
        <f t="shared" si="3"/>
        <v>0</v>
      </c>
    </row>
    <row r="271" spans="1:11" ht="15">
      <c r="A271" s="166">
        <v>44298</v>
      </c>
      <c r="B271" s="168" t="s">
        <v>1905</v>
      </c>
      <c r="C271" s="28" t="s">
        <v>1894</v>
      </c>
      <c r="D271" s="28" t="s">
        <v>1877</v>
      </c>
      <c r="E271" s="178" t="s">
        <v>1908</v>
      </c>
      <c r="F271" s="184"/>
      <c r="G271" s="188" t="s">
        <v>79</v>
      </c>
      <c r="H271" s="15"/>
      <c r="I271" s="174">
        <v>9000000</v>
      </c>
      <c r="J271" s="268">
        <v>9000000</v>
      </c>
      <c r="K271" s="112">
        <f t="shared" si="3"/>
        <v>0</v>
      </c>
    </row>
    <row r="272" spans="1:11" ht="15">
      <c r="A272" s="166">
        <v>44300</v>
      </c>
      <c r="B272" s="168" t="s">
        <v>1486</v>
      </c>
      <c r="C272" s="28" t="s">
        <v>1895</v>
      </c>
      <c r="D272" s="28" t="s">
        <v>1723</v>
      </c>
      <c r="E272" s="178" t="s">
        <v>1909</v>
      </c>
      <c r="F272" s="184"/>
      <c r="G272" s="188" t="s">
        <v>1916</v>
      </c>
      <c r="H272" s="15"/>
      <c r="I272" s="174">
        <v>48000000</v>
      </c>
      <c r="J272" s="268">
        <v>48000000</v>
      </c>
      <c r="K272" s="112">
        <f t="shared" si="3"/>
        <v>0</v>
      </c>
    </row>
    <row r="273" spans="1:11" ht="15">
      <c r="A273" s="166">
        <v>44305</v>
      </c>
      <c r="B273" s="168" t="s">
        <v>969</v>
      </c>
      <c r="C273" s="28" t="s">
        <v>1896</v>
      </c>
      <c r="D273" s="28" t="s">
        <v>1897</v>
      </c>
      <c r="E273" s="178" t="s">
        <v>1910</v>
      </c>
      <c r="F273" s="184"/>
      <c r="G273" s="188" t="s">
        <v>1917</v>
      </c>
      <c r="H273" s="15"/>
      <c r="I273" s="174">
        <v>16000000</v>
      </c>
      <c r="J273" s="268">
        <v>16000000</v>
      </c>
      <c r="K273" s="112">
        <f t="shared" si="3"/>
        <v>0</v>
      </c>
    </row>
    <row r="274" spans="1:11" ht="15">
      <c r="A274" s="166">
        <v>44305</v>
      </c>
      <c r="B274" s="168" t="s">
        <v>1540</v>
      </c>
      <c r="C274" s="28" t="s">
        <v>1898</v>
      </c>
      <c r="D274" s="28" t="s">
        <v>1899</v>
      </c>
      <c r="E274" s="178" t="s">
        <v>1911</v>
      </c>
      <c r="F274" s="184"/>
      <c r="G274" s="188" t="s">
        <v>1918</v>
      </c>
      <c r="H274" s="15"/>
      <c r="I274" s="174">
        <v>12719000</v>
      </c>
      <c r="J274" s="268">
        <v>12719000</v>
      </c>
      <c r="K274" s="112">
        <f t="shared" si="3"/>
        <v>0</v>
      </c>
    </row>
    <row r="275" spans="1:11" ht="15">
      <c r="A275" s="166">
        <v>44309</v>
      </c>
      <c r="B275" s="168" t="s">
        <v>1587</v>
      </c>
      <c r="C275" s="28" t="s">
        <v>1734</v>
      </c>
      <c r="D275" s="28" t="s">
        <v>1900</v>
      </c>
      <c r="E275" s="178" t="s">
        <v>1912</v>
      </c>
      <c r="F275" s="184"/>
      <c r="G275" s="188" t="s">
        <v>610</v>
      </c>
      <c r="H275" s="15"/>
      <c r="I275" s="174">
        <v>49152000</v>
      </c>
      <c r="J275" s="268">
        <v>49152000</v>
      </c>
      <c r="K275" s="112">
        <f t="shared" si="3"/>
        <v>0</v>
      </c>
    </row>
    <row r="276" spans="1:11" ht="15">
      <c r="A276" s="166">
        <v>44312</v>
      </c>
      <c r="B276" s="168" t="s">
        <v>1588</v>
      </c>
      <c r="C276" s="28" t="s">
        <v>1736</v>
      </c>
      <c r="D276" s="28" t="s">
        <v>1901</v>
      </c>
      <c r="E276" s="178" t="s">
        <v>1913</v>
      </c>
      <c r="F276" s="184"/>
      <c r="G276" s="188" t="s">
        <v>616</v>
      </c>
      <c r="H276" s="15"/>
      <c r="I276" s="174">
        <v>21072000</v>
      </c>
      <c r="J276" s="268">
        <v>21072000</v>
      </c>
      <c r="K276" s="112">
        <f t="shared" si="3"/>
        <v>0</v>
      </c>
    </row>
    <row r="277" spans="1:11" ht="15">
      <c r="A277" s="166">
        <v>44312</v>
      </c>
      <c r="B277" s="168" t="s">
        <v>1589</v>
      </c>
      <c r="C277" s="28" t="s">
        <v>1122</v>
      </c>
      <c r="D277" s="28" t="s">
        <v>1798</v>
      </c>
      <c r="E277" s="178" t="s">
        <v>1914</v>
      </c>
      <c r="F277" s="184"/>
      <c r="G277" s="188" t="s">
        <v>609</v>
      </c>
      <c r="H277" s="15"/>
      <c r="I277" s="174">
        <v>34888000</v>
      </c>
      <c r="J277" s="26">
        <v>34888000</v>
      </c>
      <c r="K277" s="112">
        <f t="shared" si="3"/>
        <v>0</v>
      </c>
    </row>
    <row r="278" spans="1:11" ht="15">
      <c r="A278" s="166">
        <v>44312</v>
      </c>
      <c r="B278" s="168" t="s">
        <v>1585</v>
      </c>
      <c r="C278" s="28" t="s">
        <v>1902</v>
      </c>
      <c r="D278" s="28" t="s">
        <v>1728</v>
      </c>
      <c r="E278" s="178" t="s">
        <v>1868</v>
      </c>
      <c r="F278" s="184"/>
      <c r="G278" s="188" t="s">
        <v>148</v>
      </c>
      <c r="H278" s="15"/>
      <c r="I278" s="174">
        <v>16657067</v>
      </c>
      <c r="J278" s="26">
        <v>16657067</v>
      </c>
      <c r="K278" s="112">
        <f t="shared" si="4" ref="K278:K388">+I278-J278</f>
        <v>0</v>
      </c>
    </row>
    <row r="279" spans="1:11" ht="15">
      <c r="A279" s="166">
        <v>44312</v>
      </c>
      <c r="B279" s="168" t="s">
        <v>1487</v>
      </c>
      <c r="C279" s="28" t="s">
        <v>1733</v>
      </c>
      <c r="D279" s="28" t="s">
        <v>1903</v>
      </c>
      <c r="E279" s="178" t="s">
        <v>1868</v>
      </c>
      <c r="F279" s="184"/>
      <c r="G279" s="188" t="s">
        <v>190</v>
      </c>
      <c r="H279" s="15"/>
      <c r="I279" s="174">
        <v>16657067</v>
      </c>
      <c r="J279" s="26">
        <v>16657067</v>
      </c>
      <c r="K279" s="112">
        <f t="shared" si="4"/>
        <v>0</v>
      </c>
    </row>
    <row r="280" spans="1:11" ht="15">
      <c r="A280" s="166">
        <v>44313</v>
      </c>
      <c r="B280" s="168" t="s">
        <v>1575</v>
      </c>
      <c r="C280" s="28" t="s">
        <v>1804</v>
      </c>
      <c r="D280" s="28" t="s">
        <v>1855</v>
      </c>
      <c r="E280" s="178" t="s">
        <v>1868</v>
      </c>
      <c r="F280" s="184"/>
      <c r="G280" s="188" t="s">
        <v>151</v>
      </c>
      <c r="H280" s="15"/>
      <c r="I280" s="174">
        <v>16657067</v>
      </c>
      <c r="J280" s="26">
        <v>16657067</v>
      </c>
      <c r="K280" s="112">
        <f t="shared" si="4"/>
        <v>0</v>
      </c>
    </row>
    <row r="281" spans="1:11" ht="15">
      <c r="A281" s="166">
        <v>44314</v>
      </c>
      <c r="B281" s="168" t="s">
        <v>1493</v>
      </c>
      <c r="C281" s="28" t="s">
        <v>1904</v>
      </c>
      <c r="D281" s="28" t="s">
        <v>1902</v>
      </c>
      <c r="E281" s="178" t="s">
        <v>1868</v>
      </c>
      <c r="F281" s="184"/>
      <c r="G281" s="188" t="s">
        <v>188</v>
      </c>
      <c r="H281" s="15"/>
      <c r="I281" s="174">
        <f>16657067-13312001</f>
        <v>3345066</v>
      </c>
      <c r="J281" s="26">
        <v>3345066</v>
      </c>
      <c r="K281" s="112">
        <f t="shared" si="4"/>
        <v>0</v>
      </c>
    </row>
    <row r="282" spans="1:11" ht="15">
      <c r="A282" s="166">
        <v>44319</v>
      </c>
      <c r="B282" s="168" t="s">
        <v>1494</v>
      </c>
      <c r="C282" s="28" t="s">
        <v>1990</v>
      </c>
      <c r="D282" s="28" t="s">
        <v>2090</v>
      </c>
      <c r="E282" s="178" t="s">
        <v>2185</v>
      </c>
      <c r="F282" s="184"/>
      <c r="G282" s="188" t="s">
        <v>617</v>
      </c>
      <c r="H282" s="15"/>
      <c r="I282" s="174">
        <v>19200000</v>
      </c>
      <c r="J282" s="26">
        <v>19200000</v>
      </c>
      <c r="K282" s="112">
        <f t="shared" si="4"/>
        <v>0</v>
      </c>
    </row>
    <row r="283" spans="1:11" ht="15">
      <c r="A283" s="166">
        <v>44319</v>
      </c>
      <c r="B283" s="168" t="s">
        <v>1699</v>
      </c>
      <c r="C283" s="28" t="s">
        <v>2092</v>
      </c>
      <c r="D283" s="28" t="s">
        <v>2164</v>
      </c>
      <c r="E283" s="178" t="s">
        <v>2186</v>
      </c>
      <c r="F283" s="184"/>
      <c r="G283" s="188" t="s">
        <v>2161</v>
      </c>
      <c r="H283" s="15"/>
      <c r="I283" s="174">
        <v>54432000</v>
      </c>
      <c r="J283" s="26">
        <v>53978400</v>
      </c>
      <c r="K283" s="112">
        <f t="shared" si="4"/>
        <v>453600</v>
      </c>
    </row>
    <row r="284" spans="1:11" ht="15">
      <c r="A284" s="166">
        <v>44319</v>
      </c>
      <c r="B284" s="168" t="s">
        <v>1577</v>
      </c>
      <c r="C284" s="28" t="s">
        <v>1806</v>
      </c>
      <c r="D284" s="28" t="s">
        <v>2165</v>
      </c>
      <c r="E284" s="178" t="s">
        <v>1868</v>
      </c>
      <c r="F284" s="184"/>
      <c r="G284" s="188" t="s">
        <v>640</v>
      </c>
      <c r="H284" s="15"/>
      <c r="I284" s="174">
        <f>16657067-409600</f>
        <v>16247467</v>
      </c>
      <c r="J284" s="26">
        <v>16247467</v>
      </c>
      <c r="K284" s="112">
        <f t="shared" si="4"/>
        <v>0</v>
      </c>
    </row>
    <row r="285" spans="1:11" ht="15">
      <c r="A285" s="166">
        <v>44320</v>
      </c>
      <c r="B285" s="168" t="s">
        <v>1601</v>
      </c>
      <c r="C285" s="28" t="s">
        <v>2089</v>
      </c>
      <c r="D285" s="28" t="s">
        <v>2166</v>
      </c>
      <c r="E285" s="178" t="s">
        <v>2185</v>
      </c>
      <c r="F285" s="184"/>
      <c r="G285" s="188" t="s">
        <v>156</v>
      </c>
      <c r="H285" s="15"/>
      <c r="I285" s="174">
        <v>19200000</v>
      </c>
      <c r="J285" s="26">
        <v>19200000</v>
      </c>
      <c r="K285" s="112">
        <f t="shared" si="4"/>
        <v>0</v>
      </c>
    </row>
    <row r="286" spans="1:11" ht="15">
      <c r="A286" s="166">
        <v>44320</v>
      </c>
      <c r="B286" s="168" t="s">
        <v>1594</v>
      </c>
      <c r="C286" s="28" t="s">
        <v>2009</v>
      </c>
      <c r="D286" s="28" t="s">
        <v>2167</v>
      </c>
      <c r="E286" s="178" t="s">
        <v>2187</v>
      </c>
      <c r="F286" s="184"/>
      <c r="G286" s="188" t="s">
        <v>623</v>
      </c>
      <c r="H286" s="15"/>
      <c r="I286" s="174">
        <v>55750000</v>
      </c>
      <c r="J286" s="26">
        <v>55750000</v>
      </c>
      <c r="K286" s="112">
        <f t="shared" si="4"/>
        <v>0</v>
      </c>
    </row>
    <row r="287" spans="1:11" ht="15">
      <c r="A287" s="166">
        <v>44322</v>
      </c>
      <c r="B287" s="168" t="s">
        <v>1580</v>
      </c>
      <c r="C287" s="28" t="s">
        <v>1988</v>
      </c>
      <c r="D287" s="28" t="s">
        <v>2168</v>
      </c>
      <c r="E287" s="178" t="s">
        <v>2145</v>
      </c>
      <c r="F287" s="184"/>
      <c r="G287" s="188" t="s">
        <v>1331</v>
      </c>
      <c r="H287" s="15"/>
      <c r="I287" s="174">
        <v>15086933</v>
      </c>
      <c r="J287" s="26">
        <v>15086933</v>
      </c>
      <c r="K287" s="112">
        <f t="shared" si="4"/>
        <v>0</v>
      </c>
    </row>
    <row r="288" spans="1:11" ht="15">
      <c r="A288" s="166">
        <v>44322</v>
      </c>
      <c r="B288" s="168" t="s">
        <v>1500</v>
      </c>
      <c r="C288" s="28" t="s">
        <v>1929</v>
      </c>
      <c r="D288" s="28" t="s">
        <v>2005</v>
      </c>
      <c r="E288" s="178" t="s">
        <v>2188</v>
      </c>
      <c r="F288" s="184"/>
      <c r="G288" s="188" t="s">
        <v>611</v>
      </c>
      <c r="H288" s="15"/>
      <c r="I288" s="174">
        <v>24248320</v>
      </c>
      <c r="J288" s="26">
        <v>24248320</v>
      </c>
      <c r="K288" s="112">
        <f t="shared" si="4"/>
        <v>0</v>
      </c>
    </row>
    <row r="289" spans="1:11" ht="15">
      <c r="A289" s="166">
        <v>44323</v>
      </c>
      <c r="B289" s="168" t="s">
        <v>1592</v>
      </c>
      <c r="C289" s="28" t="s">
        <v>1927</v>
      </c>
      <c r="D289" s="28" t="s">
        <v>2002</v>
      </c>
      <c r="E289" s="178" t="s">
        <v>2189</v>
      </c>
      <c r="F289" s="184"/>
      <c r="G289" s="188" t="s">
        <v>1328</v>
      </c>
      <c r="H289" s="15"/>
      <c r="I289" s="174">
        <v>15086933</v>
      </c>
      <c r="J289" s="26">
        <v>15086933</v>
      </c>
      <c r="K289" s="112">
        <f t="shared" si="4"/>
        <v>0</v>
      </c>
    </row>
    <row r="290" spans="1:11" ht="15">
      <c r="A290" s="166">
        <v>44323</v>
      </c>
      <c r="B290" s="168" t="s">
        <v>1501</v>
      </c>
      <c r="C290" s="28" t="s">
        <v>2165</v>
      </c>
      <c r="D290" s="28" t="s">
        <v>2010</v>
      </c>
      <c r="E290" s="178" t="s">
        <v>1614</v>
      </c>
      <c r="F290" s="184"/>
      <c r="G290" s="188" t="s">
        <v>1327</v>
      </c>
      <c r="H290" s="15"/>
      <c r="I290" s="174">
        <v>19879253</v>
      </c>
      <c r="J290" s="26">
        <v>19879253</v>
      </c>
      <c r="K290" s="112">
        <f t="shared" si="4"/>
        <v>0</v>
      </c>
    </row>
    <row r="291" spans="1:11" ht="15">
      <c r="A291" s="166">
        <v>44326</v>
      </c>
      <c r="B291" s="168" t="s">
        <v>1605</v>
      </c>
      <c r="C291" s="28" t="s">
        <v>1931</v>
      </c>
      <c r="D291" s="28" t="s">
        <v>2015</v>
      </c>
      <c r="E291" s="178" t="s">
        <v>2190</v>
      </c>
      <c r="F291" s="184"/>
      <c r="G291" s="188" t="s">
        <v>614</v>
      </c>
      <c r="H291" s="15"/>
      <c r="I291" s="174">
        <v>55750000</v>
      </c>
      <c r="J291" s="26">
        <v>55750000</v>
      </c>
      <c r="K291" s="112">
        <f t="shared" si="4"/>
        <v>0</v>
      </c>
    </row>
    <row r="292" spans="1:11" ht="15">
      <c r="A292" s="166">
        <v>44327</v>
      </c>
      <c r="B292" s="168" t="s">
        <v>1896</v>
      </c>
      <c r="C292" s="28" t="s">
        <v>1997</v>
      </c>
      <c r="D292" s="28" t="s">
        <v>2094</v>
      </c>
      <c r="E292" s="178" t="s">
        <v>2191</v>
      </c>
      <c r="F292" s="184"/>
      <c r="G292" s="188" t="s">
        <v>1344</v>
      </c>
      <c r="H292" s="15"/>
      <c r="I292" s="174">
        <v>14813867</v>
      </c>
      <c r="J292" s="26">
        <v>14813867</v>
      </c>
      <c r="K292" s="112">
        <f t="shared" si="4"/>
        <v>0</v>
      </c>
    </row>
    <row r="293" spans="1:11" ht="15">
      <c r="A293" s="166">
        <v>44327</v>
      </c>
      <c r="B293" s="168" t="s">
        <v>2070</v>
      </c>
      <c r="C293" s="28" t="s">
        <v>1189</v>
      </c>
      <c r="D293" s="28" t="s">
        <v>2020</v>
      </c>
      <c r="E293" s="178" t="s">
        <v>2064</v>
      </c>
      <c r="F293" s="184"/>
      <c r="G293" s="188" t="s">
        <v>1165</v>
      </c>
      <c r="H293" s="15"/>
      <c r="I293" s="174">
        <v>814933</v>
      </c>
      <c r="J293" s="26">
        <v>814933</v>
      </c>
      <c r="K293" s="112">
        <f t="shared" si="4"/>
        <v>0</v>
      </c>
    </row>
    <row r="294" spans="1:11" ht="15">
      <c r="A294" s="166">
        <v>44328</v>
      </c>
      <c r="B294" s="168" t="s">
        <v>1550</v>
      </c>
      <c r="C294" s="28" t="s">
        <v>1930</v>
      </c>
      <c r="D294" s="28" t="s">
        <v>2017</v>
      </c>
      <c r="E294" s="178" t="s">
        <v>2192</v>
      </c>
      <c r="F294" s="184"/>
      <c r="G294" s="188" t="s">
        <v>629</v>
      </c>
      <c r="H294" s="15"/>
      <c r="I294" s="174">
        <v>14733333</v>
      </c>
      <c r="J294" s="26">
        <v>14733333</v>
      </c>
      <c r="K294" s="112">
        <f t="shared" si="4"/>
        <v>0</v>
      </c>
    </row>
    <row r="295" spans="1:11" ht="15">
      <c r="A295" s="166">
        <v>44330</v>
      </c>
      <c r="B295" s="168" t="s">
        <v>2181</v>
      </c>
      <c r="C295" s="28" t="s">
        <v>2003</v>
      </c>
      <c r="D295" s="28" t="s">
        <v>2109</v>
      </c>
      <c r="E295" s="178" t="s">
        <v>2193</v>
      </c>
      <c r="F295" s="184"/>
      <c r="G295" s="188" t="s">
        <v>1354</v>
      </c>
      <c r="H295" s="15"/>
      <c r="I295" s="174">
        <v>28519067</v>
      </c>
      <c r="J295" s="26">
        <v>28519067</v>
      </c>
      <c r="K295" s="112">
        <f t="shared" si="4"/>
        <v>0</v>
      </c>
    </row>
    <row r="296" spans="1:11" ht="15">
      <c r="A296" s="166">
        <v>44330</v>
      </c>
      <c r="B296" s="168" t="s">
        <v>1604</v>
      </c>
      <c r="C296" s="28" t="s">
        <v>2169</v>
      </c>
      <c r="D296" s="28" t="s">
        <v>1935</v>
      </c>
      <c r="E296" s="178" t="s">
        <v>2194</v>
      </c>
      <c r="F296" s="184"/>
      <c r="G296" s="188" t="s">
        <v>1359</v>
      </c>
      <c r="H296" s="15"/>
      <c r="I296" s="174">
        <v>35500000</v>
      </c>
      <c r="J296" s="26">
        <v>35500000</v>
      </c>
      <c r="K296" s="112">
        <f t="shared" si="4"/>
        <v>0</v>
      </c>
    </row>
    <row r="297" spans="1:11" ht="15">
      <c r="A297" s="166">
        <v>44330</v>
      </c>
      <c r="B297" s="168" t="s">
        <v>1677</v>
      </c>
      <c r="C297" s="28" t="s">
        <v>2170</v>
      </c>
      <c r="D297" s="28" t="s">
        <v>2170</v>
      </c>
      <c r="E297" s="178" t="s">
        <v>2065</v>
      </c>
      <c r="F297" s="184"/>
      <c r="G297" s="188" t="s">
        <v>1355</v>
      </c>
      <c r="H297" s="15"/>
      <c r="I297" s="174">
        <v>18991787</v>
      </c>
      <c r="J297" s="26">
        <v>18991787</v>
      </c>
      <c r="K297" s="112">
        <f t="shared" si="4"/>
        <v>0</v>
      </c>
    </row>
    <row r="298" spans="1:11" ht="15">
      <c r="A298" s="166">
        <v>44334</v>
      </c>
      <c r="B298" s="168" t="s">
        <v>1718</v>
      </c>
      <c r="C298" s="28" t="s">
        <v>2105</v>
      </c>
      <c r="D298" s="28" t="s">
        <v>2126</v>
      </c>
      <c r="E298" s="178" t="s">
        <v>2195</v>
      </c>
      <c r="F298" s="184"/>
      <c r="G298" s="188" t="s">
        <v>224</v>
      </c>
      <c r="H298" s="15"/>
      <c r="I298" s="174">
        <v>28000000</v>
      </c>
      <c r="J298" s="26">
        <v>28000000</v>
      </c>
      <c r="K298" s="112">
        <f t="shared" si="4"/>
        <v>0</v>
      </c>
    </row>
    <row r="299" spans="1:11" ht="15">
      <c r="A299" s="166">
        <v>44334</v>
      </c>
      <c r="B299" s="168" t="s">
        <v>1853</v>
      </c>
      <c r="C299" s="28" t="s">
        <v>1928</v>
      </c>
      <c r="D299" s="28" t="s">
        <v>2103</v>
      </c>
      <c r="E299" s="178" t="s">
        <v>2185</v>
      </c>
      <c r="F299" s="184"/>
      <c r="G299" s="188" t="s">
        <v>1363</v>
      </c>
      <c r="H299" s="15"/>
      <c r="I299" s="174">
        <v>17920000</v>
      </c>
      <c r="J299" s="26">
        <v>17920000</v>
      </c>
      <c r="K299" s="112">
        <f t="shared" si="4"/>
        <v>0</v>
      </c>
    </row>
    <row r="300" spans="1:11" ht="15">
      <c r="A300" s="166">
        <v>44334</v>
      </c>
      <c r="B300" s="168" t="s">
        <v>2182</v>
      </c>
      <c r="C300" s="28" t="s">
        <v>2171</v>
      </c>
      <c r="D300" s="28" t="s">
        <v>2172</v>
      </c>
      <c r="E300" s="178" t="s">
        <v>2185</v>
      </c>
      <c r="F300" s="184"/>
      <c r="G300" s="188" t="s">
        <v>1362</v>
      </c>
      <c r="H300" s="15"/>
      <c r="I300" s="174">
        <v>17920000</v>
      </c>
      <c r="J300" s="26">
        <v>17920000</v>
      </c>
      <c r="K300" s="112">
        <f t="shared" si="4"/>
        <v>0</v>
      </c>
    </row>
    <row r="301" spans="1:11" ht="15">
      <c r="A301" s="166">
        <v>44335</v>
      </c>
      <c r="B301" s="168" t="s">
        <v>1602</v>
      </c>
      <c r="C301" s="28" t="s">
        <v>1856</v>
      </c>
      <c r="D301" s="28" t="s">
        <v>2173</v>
      </c>
      <c r="E301" s="178" t="s">
        <v>2196</v>
      </c>
      <c r="F301" s="184"/>
      <c r="G301" s="188" t="s">
        <v>2162</v>
      </c>
      <c r="H301" s="15"/>
      <c r="I301" s="174">
        <v>5948100</v>
      </c>
      <c r="J301" s="26">
        <v>5948100</v>
      </c>
      <c r="K301" s="112">
        <f t="shared" si="4"/>
        <v>0</v>
      </c>
    </row>
    <row r="302" spans="1:11" ht="15">
      <c r="A302" s="166">
        <v>44335</v>
      </c>
      <c r="B302" s="168" t="s">
        <v>1852</v>
      </c>
      <c r="C302" s="28" t="s">
        <v>2102</v>
      </c>
      <c r="D302" s="28" t="s">
        <v>2174</v>
      </c>
      <c r="E302" s="178" t="s">
        <v>2197</v>
      </c>
      <c r="F302" s="184"/>
      <c r="G302" s="188" t="s">
        <v>1365</v>
      </c>
      <c r="H302" s="15"/>
      <c r="I302" s="174">
        <v>17920000</v>
      </c>
      <c r="J302" s="26">
        <v>17920000</v>
      </c>
      <c r="K302" s="112">
        <f t="shared" si="4"/>
        <v>0</v>
      </c>
    </row>
    <row r="303" spans="1:11" ht="15">
      <c r="A303" s="166">
        <v>44335</v>
      </c>
      <c r="B303" s="168" t="s">
        <v>2183</v>
      </c>
      <c r="C303" s="28" t="s">
        <v>2175</v>
      </c>
      <c r="D303" s="28" t="s">
        <v>2176</v>
      </c>
      <c r="E303" s="178" t="s">
        <v>2198</v>
      </c>
      <c r="F303" s="184"/>
      <c r="G303" s="188" t="s">
        <v>1350</v>
      </c>
      <c r="H303" s="15"/>
      <c r="I303" s="174">
        <v>23592960</v>
      </c>
      <c r="J303" s="26">
        <v>20971520</v>
      </c>
      <c r="K303" s="112">
        <f t="shared" si="4"/>
        <v>2621440</v>
      </c>
    </row>
    <row r="304" spans="1:11" ht="15">
      <c r="A304" s="166">
        <v>44335</v>
      </c>
      <c r="B304" s="168" t="s">
        <v>1724</v>
      </c>
      <c r="C304" s="28" t="s">
        <v>2014</v>
      </c>
      <c r="D304" s="28" t="s">
        <v>2177</v>
      </c>
      <c r="E304" s="178" t="s">
        <v>2185</v>
      </c>
      <c r="F304" s="184"/>
      <c r="G304" s="188" t="s">
        <v>1360</v>
      </c>
      <c r="H304" s="15"/>
      <c r="I304" s="174">
        <v>17920000</v>
      </c>
      <c r="J304" s="26">
        <v>17920000</v>
      </c>
      <c r="K304" s="112">
        <f t="shared" si="4"/>
        <v>0</v>
      </c>
    </row>
    <row r="305" spans="1:11" ht="15">
      <c r="A305" s="166">
        <v>44337</v>
      </c>
      <c r="B305" s="168" t="s">
        <v>1726</v>
      </c>
      <c r="C305" s="28" t="s">
        <v>2115</v>
      </c>
      <c r="D305" s="28" t="s">
        <v>2178</v>
      </c>
      <c r="E305" s="178" t="s">
        <v>2199</v>
      </c>
      <c r="F305" s="184"/>
      <c r="G305" s="188" t="s">
        <v>1366</v>
      </c>
      <c r="H305" s="15"/>
      <c r="I305" s="174">
        <v>14336000</v>
      </c>
      <c r="J305" s="26">
        <v>14336000</v>
      </c>
      <c r="K305" s="112">
        <f t="shared" si="4"/>
        <v>0</v>
      </c>
    </row>
    <row r="306" spans="1:11" ht="15">
      <c r="A306" s="166">
        <v>44341</v>
      </c>
      <c r="B306" s="168" t="s">
        <v>1727</v>
      </c>
      <c r="C306" s="28" t="s">
        <v>2154</v>
      </c>
      <c r="D306" s="28" t="s">
        <v>1941</v>
      </c>
      <c r="E306" s="178" t="s">
        <v>2200</v>
      </c>
      <c r="F306" s="184"/>
      <c r="G306" s="188" t="s">
        <v>1368</v>
      </c>
      <c r="H306" s="15"/>
      <c r="I306" s="174">
        <v>22173013</v>
      </c>
      <c r="J306" s="26">
        <v>22173013</v>
      </c>
      <c r="K306" s="112">
        <f t="shared" si="4"/>
        <v>0</v>
      </c>
    </row>
    <row r="307" spans="1:11" ht="15">
      <c r="A307" s="166">
        <v>44344</v>
      </c>
      <c r="B307" s="168" t="s">
        <v>2184</v>
      </c>
      <c r="C307" s="28" t="s">
        <v>2179</v>
      </c>
      <c r="D307" s="28" t="s">
        <v>1702</v>
      </c>
      <c r="E307" s="178" t="s">
        <v>2201</v>
      </c>
      <c r="F307" s="184"/>
      <c r="G307" s="188" t="s">
        <v>2163</v>
      </c>
      <c r="H307" s="15"/>
      <c r="I307" s="174">
        <v>52500000</v>
      </c>
      <c r="J307" s="26">
        <v>52500000</v>
      </c>
      <c r="K307" s="112">
        <f t="shared" si="4"/>
        <v>0</v>
      </c>
    </row>
    <row r="308" spans="1:11" ht="15">
      <c r="A308" s="166">
        <v>44347</v>
      </c>
      <c r="B308" s="168" t="s">
        <v>1899</v>
      </c>
      <c r="C308" s="28" t="s">
        <v>2180</v>
      </c>
      <c r="D308" s="28" t="s">
        <v>2179</v>
      </c>
      <c r="E308" s="178" t="s">
        <v>2202</v>
      </c>
      <c r="F308" s="184"/>
      <c r="G308" s="188" t="s">
        <v>79</v>
      </c>
      <c r="H308" s="15"/>
      <c r="I308" s="174">
        <v>42600000</v>
      </c>
      <c r="J308" s="26">
        <v>42000000</v>
      </c>
      <c r="K308" s="112">
        <f t="shared" si="4"/>
        <v>600000</v>
      </c>
    </row>
    <row r="309" spans="1:11" ht="15">
      <c r="A309" s="166">
        <v>44347</v>
      </c>
      <c r="B309" s="168" t="s">
        <v>1895</v>
      </c>
      <c r="C309" s="28" t="s">
        <v>1851</v>
      </c>
      <c r="D309" s="28" t="s">
        <v>1945</v>
      </c>
      <c r="E309" s="178" t="s">
        <v>1975</v>
      </c>
      <c r="F309" s="184"/>
      <c r="G309" s="188" t="s">
        <v>1984</v>
      </c>
      <c r="H309" s="15"/>
      <c r="I309" s="174">
        <v>20000000</v>
      </c>
      <c r="J309" s="26">
        <v>15411151</v>
      </c>
      <c r="K309" s="112">
        <f t="shared" si="4"/>
        <v>4588849</v>
      </c>
    </row>
    <row r="310" spans="1:11" ht="15">
      <c r="A310" s="166">
        <v>44350</v>
      </c>
      <c r="B310" s="168" t="s">
        <v>1731</v>
      </c>
      <c r="C310" s="28" t="s">
        <v>2367</v>
      </c>
      <c r="D310" s="28" t="s">
        <v>2368</v>
      </c>
      <c r="E310" s="178" t="s">
        <v>2376</v>
      </c>
      <c r="F310" s="184"/>
      <c r="G310" s="188" t="s">
        <v>2384</v>
      </c>
      <c r="H310" s="15"/>
      <c r="I310" s="174">
        <v>13083000</v>
      </c>
      <c r="J310" s="26">
        <v>13083000</v>
      </c>
      <c r="K310" s="112">
        <f t="shared" si="4"/>
        <v>0</v>
      </c>
    </row>
    <row r="311" spans="1:11" ht="15">
      <c r="A311" s="166">
        <v>44355</v>
      </c>
      <c r="B311" s="168" t="s">
        <v>1797</v>
      </c>
      <c r="C311" s="28" t="s">
        <v>2280</v>
      </c>
      <c r="D311" s="28" t="s">
        <v>2289</v>
      </c>
      <c r="E311" s="178" t="s">
        <v>2377</v>
      </c>
      <c r="F311" s="184"/>
      <c r="G311" s="188" t="s">
        <v>2385</v>
      </c>
      <c r="H311" s="15"/>
      <c r="I311" s="174">
        <f>53589101-1040565</f>
        <v>52548536</v>
      </c>
      <c r="J311" s="26">
        <v>52548536</v>
      </c>
      <c r="K311" s="112">
        <f t="shared" si="4"/>
        <v>0</v>
      </c>
    </row>
    <row r="312" spans="1:11" ht="15">
      <c r="A312" s="166">
        <v>44356</v>
      </c>
      <c r="B312" s="168" t="s">
        <v>1900</v>
      </c>
      <c r="C312" s="28" t="s">
        <v>2369</v>
      </c>
      <c r="D312" s="28" t="s">
        <v>2370</v>
      </c>
      <c r="E312" s="178" t="s">
        <v>2378</v>
      </c>
      <c r="F312" s="184"/>
      <c r="G312" s="188" t="s">
        <v>1684</v>
      </c>
      <c r="H312" s="15"/>
      <c r="I312" s="174">
        <f>25531733</f>
        <v>25531733</v>
      </c>
      <c r="J312" s="26">
        <v>25531733</v>
      </c>
      <c r="K312" s="112">
        <f t="shared" si="4"/>
        <v>0</v>
      </c>
    </row>
    <row r="313" spans="1:11" ht="15">
      <c r="A313" s="166">
        <v>44356</v>
      </c>
      <c r="B313" s="168" t="s">
        <v>2323</v>
      </c>
      <c r="C313" s="28" t="s">
        <v>1892</v>
      </c>
      <c r="D313" s="28" t="s">
        <v>2371</v>
      </c>
      <c r="E313" s="178" t="s">
        <v>2379</v>
      </c>
      <c r="F313" s="184"/>
      <c r="G313" s="188" t="s">
        <v>1165</v>
      </c>
      <c r="H313" s="15"/>
      <c r="I313" s="174">
        <v>735266</v>
      </c>
      <c r="J313" s="26">
        <v>735266</v>
      </c>
      <c r="K313" s="112">
        <f t="shared" si="4"/>
        <v>0</v>
      </c>
    </row>
    <row r="314" spans="1:11" ht="15">
      <c r="A314" s="166">
        <v>44362</v>
      </c>
      <c r="B314" s="168" t="s">
        <v>1728</v>
      </c>
      <c r="C314" s="28" t="s">
        <v>2372</v>
      </c>
      <c r="D314" s="28" t="s">
        <v>2373</v>
      </c>
      <c r="E314" s="178" t="s">
        <v>2380</v>
      </c>
      <c r="F314" s="184"/>
      <c r="G314" s="188" t="s">
        <v>2386</v>
      </c>
      <c r="H314" s="15"/>
      <c r="I314" s="174">
        <v>46800000</v>
      </c>
      <c r="J314" s="26">
        <v>45500000</v>
      </c>
      <c r="K314" s="112">
        <f t="shared" si="4"/>
        <v>1300000</v>
      </c>
    </row>
    <row r="315" spans="1:11" ht="15">
      <c r="A315" s="166">
        <v>44365</v>
      </c>
      <c r="B315" s="168" t="s">
        <v>1122</v>
      </c>
      <c r="C315" s="28" t="s">
        <v>2340</v>
      </c>
      <c r="D315" s="28" t="s">
        <v>2297</v>
      </c>
      <c r="E315" s="178" t="s">
        <v>2381</v>
      </c>
      <c r="F315" s="184"/>
      <c r="G315" s="188" t="s">
        <v>2387</v>
      </c>
      <c r="H315" s="15"/>
      <c r="I315" s="174">
        <v>30000000</v>
      </c>
      <c r="J315" s="26">
        <v>30000000</v>
      </c>
      <c r="K315" s="112">
        <f t="shared" si="4"/>
        <v>0</v>
      </c>
    </row>
    <row r="316" spans="1:11" ht="15">
      <c r="A316" s="166">
        <v>44368</v>
      </c>
      <c r="B316" s="168" t="s">
        <v>1790</v>
      </c>
      <c r="C316" s="28" t="s">
        <v>2277</v>
      </c>
      <c r="D316" s="28" t="s">
        <v>2374</v>
      </c>
      <c r="E316" s="178" t="s">
        <v>2382</v>
      </c>
      <c r="F316" s="184"/>
      <c r="G316" s="188" t="s">
        <v>2388</v>
      </c>
      <c r="H316" s="15"/>
      <c r="I316" s="174">
        <v>17500000</v>
      </c>
      <c r="J316" s="26">
        <v>15750000</v>
      </c>
      <c r="K316" s="112">
        <f t="shared" si="4"/>
        <v>1750000</v>
      </c>
    </row>
    <row r="317" spans="1:11" ht="15">
      <c r="A317" s="166">
        <v>44369</v>
      </c>
      <c r="B317" s="168" t="s">
        <v>1736</v>
      </c>
      <c r="C317" s="28" t="s">
        <v>2373</v>
      </c>
      <c r="D317" s="28" t="s">
        <v>2375</v>
      </c>
      <c r="E317" s="178" t="s">
        <v>2383</v>
      </c>
      <c r="F317" s="184"/>
      <c r="G317" s="188" t="s">
        <v>2389</v>
      </c>
      <c r="H317" s="15"/>
      <c r="I317" s="174">
        <v>28000000</v>
      </c>
      <c r="J317" s="26">
        <v>28000000</v>
      </c>
      <c r="K317" s="112">
        <f t="shared" si="4"/>
        <v>0</v>
      </c>
    </row>
    <row r="318" spans="1:11" ht="15">
      <c r="A318" s="166">
        <v>44379</v>
      </c>
      <c r="B318" s="168" t="s">
        <v>1995</v>
      </c>
      <c r="C318" s="28" t="s">
        <v>2402</v>
      </c>
      <c r="D318" s="28" t="s">
        <v>2751</v>
      </c>
      <c r="E318" s="178" t="s">
        <v>2788</v>
      </c>
      <c r="F318" s="184"/>
      <c r="G318" s="230" t="s">
        <v>2833</v>
      </c>
      <c r="H318" s="15"/>
      <c r="I318" s="174">
        <v>5393400</v>
      </c>
      <c r="J318" s="26">
        <v>5393400</v>
      </c>
      <c r="K318" s="112">
        <f t="shared" si="4"/>
        <v>0</v>
      </c>
    </row>
    <row r="319" spans="1:11" ht="15">
      <c r="A319" s="166">
        <v>44379</v>
      </c>
      <c r="B319" s="168" t="s">
        <v>2445</v>
      </c>
      <c r="C319" s="28" t="s">
        <v>1892</v>
      </c>
      <c r="D319" s="28" t="s">
        <v>2752</v>
      </c>
      <c r="E319" s="178" t="s">
        <v>2789</v>
      </c>
      <c r="F319" s="184"/>
      <c r="G319" s="230" t="s">
        <v>1165</v>
      </c>
      <c r="H319" s="15"/>
      <c r="I319" s="174">
        <v>730000</v>
      </c>
      <c r="J319" s="26">
        <v>730000</v>
      </c>
      <c r="K319" s="112">
        <f t="shared" si="4"/>
        <v>0</v>
      </c>
    </row>
    <row r="320" spans="1:11" ht="15">
      <c r="A320" s="166">
        <v>44379</v>
      </c>
      <c r="B320" s="168" t="s">
        <v>2165</v>
      </c>
      <c r="C320" s="28" t="s">
        <v>2404</v>
      </c>
      <c r="D320" s="28" t="s">
        <v>2753</v>
      </c>
      <c r="E320" s="178" t="s">
        <v>2790</v>
      </c>
      <c r="F320" s="184"/>
      <c r="G320" s="230" t="s">
        <v>2834</v>
      </c>
      <c r="H320" s="15"/>
      <c r="I320" s="174">
        <v>5272200</v>
      </c>
      <c r="J320" s="26">
        <v>5272200</v>
      </c>
      <c r="K320" s="112">
        <f t="shared" si="4"/>
        <v>0</v>
      </c>
    </row>
    <row r="321" spans="1:11" ht="15">
      <c r="A321" s="166">
        <v>44383</v>
      </c>
      <c r="B321" s="168" t="s">
        <v>2175</v>
      </c>
      <c r="C321" s="28" t="s">
        <v>2403</v>
      </c>
      <c r="D321" s="28" t="s">
        <v>2596</v>
      </c>
      <c r="E321" s="178" t="s">
        <v>2791</v>
      </c>
      <c r="F321" s="184"/>
      <c r="G321" s="230" t="s">
        <v>2835</v>
      </c>
      <c r="H321" s="15"/>
      <c r="I321" s="174">
        <f>5302500</f>
        <v>5302500</v>
      </c>
      <c r="J321" s="26">
        <v>5302500</v>
      </c>
      <c r="K321" s="112">
        <f t="shared" si="4"/>
        <v>0</v>
      </c>
    </row>
    <row r="322" spans="1:11" ht="15">
      <c r="A322" s="166">
        <v>44384</v>
      </c>
      <c r="B322" s="168" t="s">
        <v>2005</v>
      </c>
      <c r="C322" s="28" t="s">
        <v>2374</v>
      </c>
      <c r="D322" s="28" t="s">
        <v>2495</v>
      </c>
      <c r="E322" s="178" t="s">
        <v>2792</v>
      </c>
      <c r="F322" s="184"/>
      <c r="G322" s="230" t="s">
        <v>366</v>
      </c>
      <c r="H322" s="15"/>
      <c r="I322" s="174">
        <f>28000000-160000</f>
        <v>27840000</v>
      </c>
      <c r="J322" s="26">
        <v>27840000</v>
      </c>
      <c r="K322" s="112">
        <f t="shared" si="4"/>
        <v>0</v>
      </c>
    </row>
    <row r="323" spans="1:11" ht="15">
      <c r="A323" s="166">
        <v>44384</v>
      </c>
      <c r="B323" s="168" t="s">
        <v>1996</v>
      </c>
      <c r="C323" s="28" t="s">
        <v>2754</v>
      </c>
      <c r="D323" s="28" t="s">
        <v>2503</v>
      </c>
      <c r="E323" s="178" t="s">
        <v>2793</v>
      </c>
      <c r="F323" s="184"/>
      <c r="G323" s="230" t="s">
        <v>295</v>
      </c>
      <c r="H323" s="15"/>
      <c r="I323" s="174">
        <f>29866667-170667</f>
        <v>29696000</v>
      </c>
      <c r="J323" s="26">
        <v>29696000</v>
      </c>
      <c r="K323" s="112">
        <f t="shared" si="4"/>
        <v>0</v>
      </c>
    </row>
    <row r="324" spans="1:11" ht="15">
      <c r="A324" s="166">
        <v>44384</v>
      </c>
      <c r="B324" s="168" t="s">
        <v>2004</v>
      </c>
      <c r="C324" s="28" t="s">
        <v>2228</v>
      </c>
      <c r="D324" s="28" t="s">
        <v>2505</v>
      </c>
      <c r="E324" s="178" t="s">
        <v>2794</v>
      </c>
      <c r="F324" s="184"/>
      <c r="G324" s="230" t="s">
        <v>61</v>
      </c>
      <c r="H324" s="15"/>
      <c r="I324" s="174">
        <f>26880000-153600</f>
        <v>26726400</v>
      </c>
      <c r="J324" s="26">
        <v>25651200</v>
      </c>
      <c r="K324" s="112">
        <f t="shared" si="4"/>
        <v>1075200</v>
      </c>
    </row>
    <row r="325" spans="1:11" ht="15">
      <c r="A325" s="166">
        <v>44384</v>
      </c>
      <c r="B325" s="168" t="s">
        <v>1998</v>
      </c>
      <c r="C325" s="28" t="s">
        <v>2752</v>
      </c>
      <c r="D325" s="28" t="s">
        <v>2499</v>
      </c>
      <c r="E325" s="178" t="s">
        <v>2795</v>
      </c>
      <c r="F325" s="184"/>
      <c r="G325" s="230" t="s">
        <v>604</v>
      </c>
      <c r="H325" s="15"/>
      <c r="I325" s="174">
        <v>22329999</v>
      </c>
      <c r="J325" s="26">
        <v>22329999</v>
      </c>
      <c r="K325" s="112">
        <f t="shared" si="4"/>
        <v>0</v>
      </c>
    </row>
    <row r="326" spans="1:11" ht="15">
      <c r="A326" s="166">
        <v>44384</v>
      </c>
      <c r="B326" s="168" t="s">
        <v>2009</v>
      </c>
      <c r="C326" s="28" t="s">
        <v>2753</v>
      </c>
      <c r="D326" s="28" t="s">
        <v>2487</v>
      </c>
      <c r="E326" s="178" t="s">
        <v>2793</v>
      </c>
      <c r="F326" s="184"/>
      <c r="G326" s="230" t="s">
        <v>388</v>
      </c>
      <c r="H326" s="15"/>
      <c r="I326" s="174">
        <v>29696000</v>
      </c>
      <c r="J326" s="26">
        <v>29696000</v>
      </c>
      <c r="K326" s="112">
        <f t="shared" si="4"/>
        <v>0</v>
      </c>
    </row>
    <row r="327" spans="1:11" ht="15">
      <c r="A327" s="166">
        <v>44385</v>
      </c>
      <c r="B327" s="168" t="s">
        <v>1985</v>
      </c>
      <c r="C327" s="28" t="s">
        <v>2755</v>
      </c>
      <c r="D327" s="28" t="s">
        <v>2502</v>
      </c>
      <c r="E327" s="178" t="s">
        <v>2796</v>
      </c>
      <c r="F327" s="184"/>
      <c r="G327" s="230" t="s">
        <v>123</v>
      </c>
      <c r="H327" s="15"/>
      <c r="I327" s="174">
        <v>46400000</v>
      </c>
      <c r="J327" s="26">
        <v>46133333</v>
      </c>
      <c r="K327" s="112">
        <f t="shared" si="4"/>
        <v>266667</v>
      </c>
    </row>
    <row r="328" spans="1:11" ht="15">
      <c r="A328" s="166">
        <v>44385</v>
      </c>
      <c r="B328" s="168" t="s">
        <v>2844</v>
      </c>
      <c r="C328" s="28" t="s">
        <v>2375</v>
      </c>
      <c r="D328" s="28" t="s">
        <v>2756</v>
      </c>
      <c r="E328" s="178" t="s">
        <v>2797</v>
      </c>
      <c r="F328" s="184"/>
      <c r="G328" s="230" t="s">
        <v>335</v>
      </c>
      <c r="H328" s="15"/>
      <c r="I328" s="174">
        <v>24576000</v>
      </c>
      <c r="J328" s="26">
        <v>24576000</v>
      </c>
      <c r="K328" s="112">
        <f t="shared" si="4"/>
        <v>0</v>
      </c>
    </row>
    <row r="329" spans="1:11" ht="15">
      <c r="A329" s="166">
        <v>44385</v>
      </c>
      <c r="B329" s="168" t="s">
        <v>2101</v>
      </c>
      <c r="C329" s="28" t="s">
        <v>2757</v>
      </c>
      <c r="D329" s="28" t="s">
        <v>2758</v>
      </c>
      <c r="E329" s="178" t="s">
        <v>2798</v>
      </c>
      <c r="F329" s="184"/>
      <c r="G329" s="230" t="s">
        <v>127</v>
      </c>
      <c r="H329" s="15"/>
      <c r="I329" s="174">
        <f>24383200-280267</f>
        <v>24102933</v>
      </c>
      <c r="J329" s="26">
        <v>24102933</v>
      </c>
      <c r="K329" s="112">
        <f t="shared" si="4"/>
        <v>0</v>
      </c>
    </row>
    <row r="330" spans="1:11" ht="15">
      <c r="A330" s="166">
        <v>44386</v>
      </c>
      <c r="B330" s="168" t="s">
        <v>1924</v>
      </c>
      <c r="C330" s="28" t="s">
        <v>2515</v>
      </c>
      <c r="D330" s="28" t="s">
        <v>2759</v>
      </c>
      <c r="E330" s="178" t="s">
        <v>2799</v>
      </c>
      <c r="F330" s="184"/>
      <c r="G330" s="230" t="s">
        <v>1316</v>
      </c>
      <c r="H330" s="15"/>
      <c r="I330" s="174">
        <v>10854400</v>
      </c>
      <c r="J330" s="26">
        <v>10854400</v>
      </c>
      <c r="K330" s="112">
        <f t="shared" si="4"/>
        <v>0</v>
      </c>
    </row>
    <row r="331" spans="1:11" ht="15">
      <c r="A331" s="166">
        <v>44386</v>
      </c>
      <c r="B331" s="168" t="s">
        <v>2013</v>
      </c>
      <c r="C331" s="28" t="s">
        <v>2588</v>
      </c>
      <c r="D331" s="28" t="s">
        <v>2760</v>
      </c>
      <c r="E331" s="178" t="s">
        <v>2800</v>
      </c>
      <c r="F331" s="184"/>
      <c r="G331" s="230" t="s">
        <v>125</v>
      </c>
      <c r="H331" s="15"/>
      <c r="I331" s="174">
        <v>24102933</v>
      </c>
      <c r="J331" s="26">
        <v>24102933</v>
      </c>
      <c r="K331" s="112">
        <f t="shared" si="4"/>
        <v>0</v>
      </c>
    </row>
    <row r="332" spans="1:11" ht="15">
      <c r="A332" s="166">
        <v>44386</v>
      </c>
      <c r="B332" s="168" t="s">
        <v>2002</v>
      </c>
      <c r="C332" s="28" t="s">
        <v>2761</v>
      </c>
      <c r="D332" s="28" t="s">
        <v>2762</v>
      </c>
      <c r="E332" s="178" t="s">
        <v>2801</v>
      </c>
      <c r="F332" s="184"/>
      <c r="G332" s="230" t="s">
        <v>50</v>
      </c>
      <c r="H332" s="15"/>
      <c r="I332" s="174">
        <v>50193067</v>
      </c>
      <c r="J332" s="26">
        <v>49032533</v>
      </c>
      <c r="K332" s="112">
        <f t="shared" si="4"/>
        <v>1160534</v>
      </c>
    </row>
    <row r="333" spans="1:11" ht="15">
      <c r="A333" s="166">
        <v>44386</v>
      </c>
      <c r="B333" s="168" t="s">
        <v>2006</v>
      </c>
      <c r="C333" s="28" t="s">
        <v>2763</v>
      </c>
      <c r="D333" s="28" t="s">
        <v>2757</v>
      </c>
      <c r="E333" s="178" t="s">
        <v>2802</v>
      </c>
      <c r="F333" s="184"/>
      <c r="G333" s="230" t="s">
        <v>469</v>
      </c>
      <c r="H333" s="15"/>
      <c r="I333" s="174">
        <v>29354667</v>
      </c>
      <c r="J333" s="26">
        <v>29354667</v>
      </c>
      <c r="K333" s="112">
        <f t="shared" si="4"/>
        <v>0</v>
      </c>
    </row>
    <row r="334" spans="1:11" ht="15">
      <c r="A334" s="166">
        <v>44386</v>
      </c>
      <c r="B334" s="168" t="s">
        <v>2018</v>
      </c>
      <c r="C334" s="28" t="s">
        <v>2600</v>
      </c>
      <c r="D334" s="28" t="s">
        <v>2764</v>
      </c>
      <c r="E334" s="178" t="s">
        <v>2803</v>
      </c>
      <c r="F334" s="184"/>
      <c r="G334" s="230" t="s">
        <v>2836</v>
      </c>
      <c r="H334" s="15"/>
      <c r="I334" s="174">
        <f>15101600-351200</f>
        <v>14750400</v>
      </c>
      <c r="J334" s="26">
        <v>14135800</v>
      </c>
      <c r="K334" s="112">
        <f t="shared" si="4"/>
        <v>614600</v>
      </c>
    </row>
    <row r="335" spans="1:11" ht="15">
      <c r="A335" s="166">
        <v>44389</v>
      </c>
      <c r="B335" s="168" t="s">
        <v>1930</v>
      </c>
      <c r="C335" s="28" t="s">
        <v>2484</v>
      </c>
      <c r="D335" s="28" t="s">
        <v>2765</v>
      </c>
      <c r="E335" s="178" t="s">
        <v>2804</v>
      </c>
      <c r="F335" s="184"/>
      <c r="G335" s="230" t="s">
        <v>2837</v>
      </c>
      <c r="H335" s="15"/>
      <c r="I335" s="174">
        <v>15101600</v>
      </c>
      <c r="J335" s="26">
        <v>14838200</v>
      </c>
      <c r="K335" s="112">
        <f t="shared" si="4"/>
        <v>263400</v>
      </c>
    </row>
    <row r="336" spans="1:11" ht="15">
      <c r="A336" s="166">
        <v>44389</v>
      </c>
      <c r="B336" s="168" t="s">
        <v>1925</v>
      </c>
      <c r="C336" s="28" t="s">
        <v>2766</v>
      </c>
      <c r="D336" s="28" t="s">
        <v>2521</v>
      </c>
      <c r="E336" s="178" t="s">
        <v>2804</v>
      </c>
      <c r="F336" s="184"/>
      <c r="G336" s="230" t="s">
        <v>2838</v>
      </c>
      <c r="H336" s="15"/>
      <c r="I336" s="174">
        <f>15101600-263400</f>
        <v>14838200</v>
      </c>
      <c r="J336" s="26">
        <v>14838200</v>
      </c>
      <c r="K336" s="112">
        <f t="shared" si="4"/>
        <v>0</v>
      </c>
    </row>
    <row r="337" spans="1:11" ht="15">
      <c r="A337" s="166">
        <v>44389</v>
      </c>
      <c r="B337" s="168" t="s">
        <v>2012</v>
      </c>
      <c r="C337" s="28" t="s">
        <v>2759</v>
      </c>
      <c r="D337" s="28" t="s">
        <v>2767</v>
      </c>
      <c r="E337" s="178" t="s">
        <v>2805</v>
      </c>
      <c r="F337" s="184"/>
      <c r="G337" s="230" t="s">
        <v>2839</v>
      </c>
      <c r="H337" s="15"/>
      <c r="I337" s="174">
        <v>11059200</v>
      </c>
      <c r="J337" s="26">
        <v>11059200</v>
      </c>
      <c r="K337" s="112">
        <f t="shared" si="4"/>
        <v>0</v>
      </c>
    </row>
    <row r="338" spans="1:11" ht="15">
      <c r="A338" s="166">
        <v>44390</v>
      </c>
      <c r="B338" s="168" t="s">
        <v>2094</v>
      </c>
      <c r="C338" s="28" t="s">
        <v>2768</v>
      </c>
      <c r="D338" s="28" t="s">
        <v>2409</v>
      </c>
      <c r="E338" s="178" t="s">
        <v>2804</v>
      </c>
      <c r="F338" s="184"/>
      <c r="G338" s="230" t="s">
        <v>122</v>
      </c>
      <c r="H338" s="15"/>
      <c r="I338" s="174">
        <v>14750400</v>
      </c>
      <c r="J338" s="26">
        <v>14750400</v>
      </c>
      <c r="K338" s="112">
        <f t="shared" si="4"/>
        <v>0</v>
      </c>
    </row>
    <row r="339" spans="1:11" ht="15">
      <c r="A339" s="166">
        <v>44390</v>
      </c>
      <c r="B339" s="168" t="s">
        <v>2095</v>
      </c>
      <c r="C339" s="28" t="s">
        <v>2769</v>
      </c>
      <c r="D339" s="28" t="s">
        <v>2608</v>
      </c>
      <c r="E339" s="178" t="s">
        <v>2804</v>
      </c>
      <c r="F339" s="184"/>
      <c r="G339" s="230" t="s">
        <v>183</v>
      </c>
      <c r="H339" s="15"/>
      <c r="I339" s="174">
        <v>14838200</v>
      </c>
      <c r="J339" s="26">
        <v>14487000</v>
      </c>
      <c r="K339" s="112">
        <f t="shared" si="4"/>
        <v>351200</v>
      </c>
    </row>
    <row r="340" spans="1:11" ht="15">
      <c r="A340" s="166">
        <v>44390</v>
      </c>
      <c r="B340" s="168" t="s">
        <v>2019</v>
      </c>
      <c r="C340" s="28" t="s">
        <v>2223</v>
      </c>
      <c r="D340" s="28" t="s">
        <v>2603</v>
      </c>
      <c r="E340" s="178" t="s">
        <v>2806</v>
      </c>
      <c r="F340" s="184"/>
      <c r="G340" s="230" t="s">
        <v>135</v>
      </c>
      <c r="H340" s="15"/>
      <c r="I340" s="174">
        <v>14750400</v>
      </c>
      <c r="J340" s="26">
        <v>14750400</v>
      </c>
      <c r="K340" s="112">
        <f t="shared" si="4"/>
        <v>0</v>
      </c>
    </row>
    <row r="341" spans="1:11" ht="15">
      <c r="A341" s="166">
        <v>44390</v>
      </c>
      <c r="B341" s="168" t="s">
        <v>1923</v>
      </c>
      <c r="C341" s="28" t="s">
        <v>2602</v>
      </c>
      <c r="D341" s="28" t="s">
        <v>2605</v>
      </c>
      <c r="E341" s="178" t="s">
        <v>2807</v>
      </c>
      <c r="F341" s="184"/>
      <c r="G341" s="230" t="s">
        <v>158</v>
      </c>
      <c r="H341" s="15"/>
      <c r="I341" s="174">
        <f>21920427-129707</f>
        <v>21790720</v>
      </c>
      <c r="J341" s="26">
        <v>21790720</v>
      </c>
      <c r="K341" s="112">
        <f t="shared" si="4"/>
        <v>0</v>
      </c>
    </row>
    <row r="342" spans="1:11" ht="15">
      <c r="A342" s="166">
        <v>44390</v>
      </c>
      <c r="B342" s="168" t="s">
        <v>2096</v>
      </c>
      <c r="C342" s="28" t="s">
        <v>2412</v>
      </c>
      <c r="D342" s="28" t="s">
        <v>2770</v>
      </c>
      <c r="E342" s="178" t="s">
        <v>2808</v>
      </c>
      <c r="F342" s="184"/>
      <c r="G342" s="230" t="s">
        <v>2840</v>
      </c>
      <c r="H342" s="15"/>
      <c r="I342" s="174">
        <v>14473333</v>
      </c>
      <c r="J342" s="26">
        <v>14473333</v>
      </c>
      <c r="K342" s="112">
        <f t="shared" si="4"/>
        <v>0</v>
      </c>
    </row>
    <row r="343" spans="1:11" ht="15">
      <c r="A343" s="166">
        <v>44390</v>
      </c>
      <c r="B343" s="168" t="s">
        <v>2097</v>
      </c>
      <c r="C343" s="28" t="s">
        <v>2771</v>
      </c>
      <c r="D343" s="28" t="s">
        <v>2772</v>
      </c>
      <c r="E343" s="178" t="s">
        <v>2809</v>
      </c>
      <c r="F343" s="184"/>
      <c r="G343" s="230" t="s">
        <v>2841</v>
      </c>
      <c r="H343" s="15"/>
      <c r="I343" s="174">
        <f>31533333-916666</f>
        <v>30616667</v>
      </c>
      <c r="J343" s="26">
        <v>30616667</v>
      </c>
      <c r="K343" s="112">
        <f t="shared" si="4"/>
        <v>0</v>
      </c>
    </row>
    <row r="344" spans="1:11" ht="15">
      <c r="A344" s="166">
        <v>44390</v>
      </c>
      <c r="B344" s="168" t="s">
        <v>1994</v>
      </c>
      <c r="C344" s="28" t="s">
        <v>2227</v>
      </c>
      <c r="D344" s="28" t="s">
        <v>2611</v>
      </c>
      <c r="E344" s="178" t="s">
        <v>2810</v>
      </c>
      <c r="F344" s="184"/>
      <c r="G344" s="230" t="s">
        <v>355</v>
      </c>
      <c r="H344" s="15"/>
      <c r="I344" s="174">
        <v>27680000</v>
      </c>
      <c r="J344" s="26">
        <v>27520000</v>
      </c>
      <c r="K344" s="112">
        <f t="shared" si="4"/>
        <v>160000</v>
      </c>
    </row>
    <row r="345" spans="1:11" ht="15">
      <c r="A345" s="166">
        <v>44390</v>
      </c>
      <c r="B345" s="168" t="s">
        <v>2024</v>
      </c>
      <c r="C345" s="28" t="s">
        <v>2292</v>
      </c>
      <c r="D345" s="28" t="s">
        <v>2609</v>
      </c>
      <c r="E345" s="178" t="s">
        <v>2811</v>
      </c>
      <c r="F345" s="184"/>
      <c r="G345" s="230" t="s">
        <v>607</v>
      </c>
      <c r="H345" s="15"/>
      <c r="I345" s="174">
        <v>33600000</v>
      </c>
      <c r="J345" s="26">
        <v>33400000</v>
      </c>
      <c r="K345" s="112">
        <f t="shared" si="4"/>
        <v>200000</v>
      </c>
    </row>
    <row r="346" spans="1:11" ht="15">
      <c r="A346" s="166">
        <v>44391</v>
      </c>
      <c r="B346" s="168" t="s">
        <v>2109</v>
      </c>
      <c r="C346" s="28" t="s">
        <v>2520</v>
      </c>
      <c r="D346" s="28" t="s">
        <v>2771</v>
      </c>
      <c r="E346" s="178" t="s">
        <v>2812</v>
      </c>
      <c r="F346" s="184"/>
      <c r="G346" s="230" t="s">
        <v>101</v>
      </c>
      <c r="H346" s="15"/>
      <c r="I346" s="174">
        <v>35942400</v>
      </c>
      <c r="J346" s="26">
        <v>35942400</v>
      </c>
      <c r="K346" s="112">
        <f t="shared" si="4"/>
        <v>0</v>
      </c>
    </row>
    <row r="347" spans="1:11" ht="15">
      <c r="A347" s="166">
        <v>44391</v>
      </c>
      <c r="B347" s="168" t="s">
        <v>2102</v>
      </c>
      <c r="C347" s="28" t="s">
        <v>2762</v>
      </c>
      <c r="D347" s="28" t="s">
        <v>2773</v>
      </c>
      <c r="E347" s="178" t="s">
        <v>2813</v>
      </c>
      <c r="F347" s="184"/>
      <c r="G347" s="230" t="s">
        <v>424</v>
      </c>
      <c r="H347" s="15"/>
      <c r="I347" s="174">
        <f>40560000-720000</f>
        <v>39840000</v>
      </c>
      <c r="J347" s="26">
        <v>39840000</v>
      </c>
      <c r="K347" s="112">
        <f t="shared" si="4"/>
        <v>0</v>
      </c>
    </row>
    <row r="348" spans="1:11" ht="15">
      <c r="A348" s="166">
        <v>44391</v>
      </c>
      <c r="B348" s="168" t="s">
        <v>2023</v>
      </c>
      <c r="C348" s="28" t="s">
        <v>2774</v>
      </c>
      <c r="D348" s="28" t="s">
        <v>2775</v>
      </c>
      <c r="E348" s="178" t="s">
        <v>2804</v>
      </c>
      <c r="F348" s="184"/>
      <c r="G348" s="230" t="s">
        <v>184</v>
      </c>
      <c r="H348" s="15"/>
      <c r="I348" s="174">
        <v>14750400</v>
      </c>
      <c r="J348" s="26">
        <v>14574800</v>
      </c>
      <c r="K348" s="112">
        <f t="shared" si="4"/>
        <v>175600</v>
      </c>
    </row>
    <row r="349" spans="1:11" ht="15">
      <c r="A349" s="166">
        <v>44391</v>
      </c>
      <c r="B349" s="168" t="s">
        <v>1931</v>
      </c>
      <c r="C349" s="28" t="s">
        <v>2732</v>
      </c>
      <c r="D349" s="28" t="s">
        <v>2613</v>
      </c>
      <c r="E349" s="178" t="s">
        <v>2673</v>
      </c>
      <c r="F349" s="184"/>
      <c r="G349" s="230" t="s">
        <v>228</v>
      </c>
      <c r="H349" s="15"/>
      <c r="I349" s="174">
        <v>41171627</v>
      </c>
      <c r="J349" s="26">
        <v>41171627</v>
      </c>
      <c r="K349" s="112">
        <f t="shared" si="4"/>
        <v>0</v>
      </c>
    </row>
    <row r="350" spans="1:11" ht="15">
      <c r="A350" s="166">
        <v>44392</v>
      </c>
      <c r="B350" s="168" t="s">
        <v>2203</v>
      </c>
      <c r="C350" s="28" t="s">
        <v>2773</v>
      </c>
      <c r="D350" s="28" t="s">
        <v>2526</v>
      </c>
      <c r="E350" s="178" t="s">
        <v>2814</v>
      </c>
      <c r="F350" s="184"/>
      <c r="G350" s="230" t="s">
        <v>231</v>
      </c>
      <c r="H350" s="15"/>
      <c r="I350" s="174">
        <v>28672000</v>
      </c>
      <c r="J350" s="26">
        <v>27989333</v>
      </c>
      <c r="K350" s="112">
        <f t="shared" si="4"/>
        <v>682667</v>
      </c>
    </row>
    <row r="351" spans="1:11" ht="15">
      <c r="A351" s="166">
        <v>44392</v>
      </c>
      <c r="B351" s="168" t="s">
        <v>2170</v>
      </c>
      <c r="C351" s="28" t="s">
        <v>2290</v>
      </c>
      <c r="D351" s="28" t="s">
        <v>2616</v>
      </c>
      <c r="E351" s="178" t="s">
        <v>2804</v>
      </c>
      <c r="F351" s="184"/>
      <c r="G351" s="230" t="s">
        <v>58</v>
      </c>
      <c r="H351" s="15"/>
      <c r="I351" s="174">
        <v>14574800</v>
      </c>
      <c r="J351" s="26">
        <v>14574800</v>
      </c>
      <c r="K351" s="112">
        <f t="shared" si="4"/>
        <v>0</v>
      </c>
    </row>
    <row r="352" spans="1:11" ht="15">
      <c r="A352" s="166">
        <v>44392</v>
      </c>
      <c r="B352" s="168" t="s">
        <v>2154</v>
      </c>
      <c r="C352" s="28" t="s">
        <v>2772</v>
      </c>
      <c r="D352" s="28" t="s">
        <v>2610</v>
      </c>
      <c r="E352" s="178" t="s">
        <v>2815</v>
      </c>
      <c r="F352" s="184"/>
      <c r="G352" s="230" t="s">
        <v>2842</v>
      </c>
      <c r="H352" s="15"/>
      <c r="I352" s="174">
        <v>29675520</v>
      </c>
      <c r="J352" s="26">
        <v>29675520</v>
      </c>
      <c r="K352" s="112">
        <f t="shared" si="4"/>
        <v>0</v>
      </c>
    </row>
    <row r="353" spans="1:11" ht="15">
      <c r="A353" s="166">
        <v>44392</v>
      </c>
      <c r="B353" s="168" t="s">
        <v>2026</v>
      </c>
      <c r="C353" s="28" t="s">
        <v>2294</v>
      </c>
      <c r="D353" s="28" t="s">
        <v>2776</v>
      </c>
      <c r="E353" s="178" t="s">
        <v>2808</v>
      </c>
      <c r="F353" s="184"/>
      <c r="G353" s="230" t="s">
        <v>137</v>
      </c>
      <c r="H353" s="15"/>
      <c r="I353" s="174">
        <v>14662600</v>
      </c>
      <c r="J353" s="26">
        <v>14574800</v>
      </c>
      <c r="K353" s="112">
        <f t="shared" si="4"/>
        <v>87800</v>
      </c>
    </row>
    <row r="354" spans="1:11" ht="15">
      <c r="A354" s="166">
        <v>44392</v>
      </c>
      <c r="B354" s="168" t="s">
        <v>2104</v>
      </c>
      <c r="C354" s="28" t="s">
        <v>2775</v>
      </c>
      <c r="D354" s="28" t="s">
        <v>2625</v>
      </c>
      <c r="E354" s="178" t="s">
        <v>2816</v>
      </c>
      <c r="F354" s="184"/>
      <c r="G354" s="230" t="s">
        <v>338</v>
      </c>
      <c r="H354" s="15"/>
      <c r="I354" s="174">
        <v>35498667</v>
      </c>
      <c r="J354" s="26">
        <v>35498667</v>
      </c>
      <c r="K354" s="112">
        <f t="shared" si="4"/>
        <v>0</v>
      </c>
    </row>
    <row r="355" spans="1:11" ht="15">
      <c r="A355" s="166">
        <v>44392</v>
      </c>
      <c r="B355" s="168" t="s">
        <v>2845</v>
      </c>
      <c r="C355" s="28" t="s">
        <v>2411</v>
      </c>
      <c r="D355" s="28" t="s">
        <v>2633</v>
      </c>
      <c r="E355" s="178" t="s">
        <v>2808</v>
      </c>
      <c r="F355" s="184"/>
      <c r="G355" s="230" t="s">
        <v>121</v>
      </c>
      <c r="H355" s="15"/>
      <c r="I355" s="174">
        <v>14662600</v>
      </c>
      <c r="J355" s="26">
        <v>14223600</v>
      </c>
      <c r="K355" s="112">
        <f t="shared" si="4"/>
        <v>439000</v>
      </c>
    </row>
    <row r="356" spans="1:11" ht="15">
      <c r="A356" s="166">
        <v>44392</v>
      </c>
      <c r="B356" s="168" t="s">
        <v>2021</v>
      </c>
      <c r="C356" s="28" t="s">
        <v>2516</v>
      </c>
      <c r="D356" s="28" t="s">
        <v>2631</v>
      </c>
      <c r="E356" s="178" t="s">
        <v>2817</v>
      </c>
      <c r="F356" s="184"/>
      <c r="G356" s="230" t="s">
        <v>140</v>
      </c>
      <c r="H356" s="15"/>
      <c r="I356" s="174">
        <v>13738667</v>
      </c>
      <c r="J356" s="26">
        <v>13738667</v>
      </c>
      <c r="K356" s="112">
        <f t="shared" si="4"/>
        <v>0</v>
      </c>
    </row>
    <row r="357" spans="1:11" ht="15">
      <c r="A357" s="166">
        <v>44392</v>
      </c>
      <c r="B357" s="168" t="s">
        <v>2106</v>
      </c>
      <c r="C357" s="28" t="s">
        <v>2607</v>
      </c>
      <c r="D357" s="28" t="s">
        <v>2619</v>
      </c>
      <c r="E357" s="178" t="s">
        <v>2818</v>
      </c>
      <c r="F357" s="184"/>
      <c r="G357" s="230" t="s">
        <v>365</v>
      </c>
      <c r="H357" s="15"/>
      <c r="I357" s="174">
        <f>14250667-85334</f>
        <v>14165333</v>
      </c>
      <c r="J357" s="26">
        <v>14165333</v>
      </c>
      <c r="K357" s="112">
        <f t="shared" si="4"/>
        <v>0</v>
      </c>
    </row>
    <row r="358" spans="1:11" ht="15">
      <c r="A358" s="166">
        <v>44392</v>
      </c>
      <c r="B358" s="168" t="s">
        <v>1922</v>
      </c>
      <c r="C358" s="28" t="s">
        <v>2492</v>
      </c>
      <c r="D358" s="28" t="s">
        <v>2414</v>
      </c>
      <c r="E358" s="178" t="s">
        <v>2819</v>
      </c>
      <c r="F358" s="184"/>
      <c r="G358" s="230" t="s">
        <v>605</v>
      </c>
      <c r="H358" s="15"/>
      <c r="I358" s="174">
        <v>28166667</v>
      </c>
      <c r="J358" s="26">
        <v>27500000</v>
      </c>
      <c r="K358" s="112">
        <f t="shared" si="4"/>
        <v>666667</v>
      </c>
    </row>
    <row r="359" spans="1:11" ht="15">
      <c r="A359" s="166">
        <v>44393</v>
      </c>
      <c r="B359" s="168" t="s">
        <v>2105</v>
      </c>
      <c r="C359" s="28" t="s">
        <v>2406</v>
      </c>
      <c r="D359" s="28" t="s">
        <v>2735</v>
      </c>
      <c r="E359" s="178" t="s">
        <v>2808</v>
      </c>
      <c r="F359" s="184"/>
      <c r="G359" s="230" t="s">
        <v>133</v>
      </c>
      <c r="H359" s="15"/>
      <c r="I359" s="174">
        <v>14574800</v>
      </c>
      <c r="J359" s="26">
        <v>14487000</v>
      </c>
      <c r="K359" s="112">
        <f t="shared" si="4"/>
        <v>87800</v>
      </c>
    </row>
    <row r="360" spans="1:11" ht="15">
      <c r="A360" s="166">
        <v>44393</v>
      </c>
      <c r="B360" s="168" t="s">
        <v>2010</v>
      </c>
      <c r="C360" s="28" t="s">
        <v>2293</v>
      </c>
      <c r="D360" s="28" t="s">
        <v>2623</v>
      </c>
      <c r="E360" s="178" t="s">
        <v>2808</v>
      </c>
      <c r="F360" s="184"/>
      <c r="G360" s="230" t="s">
        <v>138</v>
      </c>
      <c r="H360" s="15"/>
      <c r="I360" s="174">
        <v>15101600</v>
      </c>
      <c r="J360" s="26">
        <v>13872400</v>
      </c>
      <c r="K360" s="112">
        <f t="shared" si="4"/>
        <v>1229200</v>
      </c>
    </row>
    <row r="361" spans="1:11" ht="15">
      <c r="A361" s="166">
        <v>44393</v>
      </c>
      <c r="B361" s="168" t="s">
        <v>1999</v>
      </c>
      <c r="C361" s="28" t="s">
        <v>2364</v>
      </c>
      <c r="D361" s="28" t="s">
        <v>2626</v>
      </c>
      <c r="E361" s="178" t="s">
        <v>2820</v>
      </c>
      <c r="F361" s="184"/>
      <c r="G361" s="230" t="s">
        <v>389</v>
      </c>
      <c r="H361" s="15"/>
      <c r="I361" s="174">
        <f>27197440-655360</f>
        <v>26542080</v>
      </c>
      <c r="J361" s="26">
        <v>26542080</v>
      </c>
      <c r="K361" s="112">
        <f t="shared" si="4"/>
        <v>0</v>
      </c>
    </row>
    <row r="362" spans="1:11" ht="15">
      <c r="A362" s="166">
        <v>44393</v>
      </c>
      <c r="B362" s="168" t="s">
        <v>2846</v>
      </c>
      <c r="C362" s="28" t="s">
        <v>2777</v>
      </c>
      <c r="D362" s="28" t="s">
        <v>2422</v>
      </c>
      <c r="E362" s="178" t="s">
        <v>2821</v>
      </c>
      <c r="F362" s="184"/>
      <c r="G362" s="230" t="s">
        <v>357</v>
      </c>
      <c r="H362" s="15"/>
      <c r="I362" s="174">
        <f>28672000-512000</f>
        <v>28160000</v>
      </c>
      <c r="J362" s="26">
        <v>28160000</v>
      </c>
      <c r="K362" s="112">
        <f t="shared" si="4"/>
        <v>0</v>
      </c>
    </row>
    <row r="363" spans="1:11" ht="15">
      <c r="A363" s="166">
        <v>44396</v>
      </c>
      <c r="B363" s="168" t="s">
        <v>2847</v>
      </c>
      <c r="C363" s="28" t="s">
        <v>2525</v>
      </c>
      <c r="D363" s="28" t="s">
        <v>2524</v>
      </c>
      <c r="E363" s="178" t="s">
        <v>2822</v>
      </c>
      <c r="F363" s="184"/>
      <c r="G363" s="230" t="s">
        <v>421</v>
      </c>
      <c r="H363" s="15"/>
      <c r="I363" s="174">
        <v>7500000</v>
      </c>
      <c r="J363" s="26">
        <v>7500000</v>
      </c>
      <c r="K363" s="112">
        <f t="shared" si="4"/>
        <v>0</v>
      </c>
    </row>
    <row r="364" spans="1:11" ht="15">
      <c r="A364" s="166">
        <v>44398</v>
      </c>
      <c r="B364" s="168" t="s">
        <v>2176</v>
      </c>
      <c r="C364" s="28" t="s">
        <v>2296</v>
      </c>
      <c r="D364" s="28" t="s">
        <v>2638</v>
      </c>
      <c r="E364" s="178" t="s">
        <v>2823</v>
      </c>
      <c r="F364" s="184"/>
      <c r="G364" s="230" t="s">
        <v>337</v>
      </c>
      <c r="H364" s="15"/>
      <c r="I364" s="174">
        <v>28569600</v>
      </c>
      <c r="J364" s="26">
        <v>28569600</v>
      </c>
      <c r="K364" s="112">
        <f t="shared" si="4"/>
        <v>0</v>
      </c>
    </row>
    <row r="365" spans="1:11" ht="15">
      <c r="A365" s="166">
        <v>44398</v>
      </c>
      <c r="B365" s="168" t="s">
        <v>2028</v>
      </c>
      <c r="C365" s="28" t="s">
        <v>2490</v>
      </c>
      <c r="D365" s="28" t="s">
        <v>2420</v>
      </c>
      <c r="E365" s="178" t="s">
        <v>2824</v>
      </c>
      <c r="F365" s="184"/>
      <c r="G365" s="230" t="s">
        <v>423</v>
      </c>
      <c r="H365" s="15"/>
      <c r="I365" s="174">
        <f>23367680-430080</f>
        <v>22937600</v>
      </c>
      <c r="J365" s="26">
        <v>22937600</v>
      </c>
      <c r="K365" s="112">
        <f t="shared" si="4"/>
        <v>0</v>
      </c>
    </row>
    <row r="366" spans="1:11" ht="15">
      <c r="A366" s="166">
        <v>44398</v>
      </c>
      <c r="B366" s="168" t="s">
        <v>2027</v>
      </c>
      <c r="C366" s="28" t="s">
        <v>2589</v>
      </c>
      <c r="D366" s="28" t="s">
        <v>2778</v>
      </c>
      <c r="E366" s="178" t="s">
        <v>2825</v>
      </c>
      <c r="F366" s="184"/>
      <c r="G366" s="230" t="s">
        <v>147</v>
      </c>
      <c r="H366" s="15"/>
      <c r="I366" s="174">
        <v>33177600</v>
      </c>
      <c r="J366" s="26">
        <v>32768000</v>
      </c>
      <c r="K366" s="112">
        <f t="shared" si="4"/>
        <v>409600</v>
      </c>
    </row>
    <row r="367" spans="1:11" ht="15">
      <c r="A367" s="166">
        <v>44398</v>
      </c>
      <c r="B367" s="168" t="s">
        <v>2113</v>
      </c>
      <c r="C367" s="28" t="s">
        <v>2760</v>
      </c>
      <c r="D367" s="28" t="s">
        <v>2647</v>
      </c>
      <c r="E367" s="178" t="s">
        <v>2826</v>
      </c>
      <c r="F367" s="184"/>
      <c r="G367" s="230" t="s">
        <v>296</v>
      </c>
      <c r="H367" s="15"/>
      <c r="I367" s="174">
        <v>37800000</v>
      </c>
      <c r="J367" s="26">
        <v>37333333</v>
      </c>
      <c r="K367" s="112">
        <f t="shared" si="4"/>
        <v>466667</v>
      </c>
    </row>
    <row r="368" spans="1:11" ht="15">
      <c r="A368" s="166">
        <v>44398</v>
      </c>
      <c r="B368" s="168" t="s">
        <v>2119</v>
      </c>
      <c r="C368" s="28" t="s">
        <v>2496</v>
      </c>
      <c r="D368" s="28" t="s">
        <v>2654</v>
      </c>
      <c r="E368" s="178" t="s">
        <v>2827</v>
      </c>
      <c r="F368" s="184"/>
      <c r="G368" s="230" t="s">
        <v>620</v>
      </c>
      <c r="H368" s="15"/>
      <c r="I368" s="174">
        <v>22050000</v>
      </c>
      <c r="J368" s="26">
        <v>22050000</v>
      </c>
      <c r="K368" s="112">
        <f t="shared" si="4"/>
        <v>0</v>
      </c>
    </row>
    <row r="369" spans="1:11" ht="15">
      <c r="A369" s="166">
        <v>44398</v>
      </c>
      <c r="B369" s="168" t="s">
        <v>2172</v>
      </c>
      <c r="C369" s="28" t="s">
        <v>2494</v>
      </c>
      <c r="D369" s="28" t="s">
        <v>2779</v>
      </c>
      <c r="E369" s="178" t="s">
        <v>2828</v>
      </c>
      <c r="F369" s="184"/>
      <c r="G369" s="230" t="s">
        <v>315</v>
      </c>
      <c r="H369" s="15"/>
      <c r="I369" s="174">
        <v>24300000</v>
      </c>
      <c r="J369" s="26">
        <v>24000000</v>
      </c>
      <c r="K369" s="112">
        <f t="shared" si="4"/>
        <v>300000</v>
      </c>
    </row>
    <row r="370" spans="1:11" ht="15">
      <c r="A370" s="166">
        <v>44398</v>
      </c>
      <c r="B370" s="168" t="s">
        <v>2155</v>
      </c>
      <c r="C370" s="28" t="s">
        <v>2518</v>
      </c>
      <c r="D370" s="28" t="s">
        <v>2780</v>
      </c>
      <c r="E370" s="178" t="s">
        <v>2829</v>
      </c>
      <c r="F370" s="184"/>
      <c r="G370" s="230" t="s">
        <v>76</v>
      </c>
      <c r="H370" s="15"/>
      <c r="I370" s="174">
        <v>39150933</v>
      </c>
      <c r="J370" s="26">
        <v>39150933</v>
      </c>
      <c r="K370" s="112">
        <f t="shared" si="4"/>
        <v>0</v>
      </c>
    </row>
    <row r="371" spans="1:11" ht="15">
      <c r="A371" s="166">
        <v>44398</v>
      </c>
      <c r="B371" s="168" t="s">
        <v>1997</v>
      </c>
      <c r="C371" s="28" t="s">
        <v>2488</v>
      </c>
      <c r="D371" s="28" t="s">
        <v>2781</v>
      </c>
      <c r="E371" s="178" t="s">
        <v>2830</v>
      </c>
      <c r="F371" s="184"/>
      <c r="G371" s="230" t="s">
        <v>327</v>
      </c>
      <c r="H371" s="15"/>
      <c r="I371" s="174">
        <f>14743893-271360</f>
        <v>14472533</v>
      </c>
      <c r="J371" s="26">
        <v>14472533</v>
      </c>
      <c r="K371" s="112">
        <f t="shared" si="4"/>
        <v>0</v>
      </c>
    </row>
    <row r="372" spans="1:11" ht="15">
      <c r="A372" s="166">
        <v>44399</v>
      </c>
      <c r="B372" s="168" t="s">
        <v>2115</v>
      </c>
      <c r="C372" s="28" t="s">
        <v>2782</v>
      </c>
      <c r="D372" s="28" t="s">
        <v>2661</v>
      </c>
      <c r="E372" s="178" t="s">
        <v>2804</v>
      </c>
      <c r="F372" s="184"/>
      <c r="G372" s="230" t="s">
        <v>153</v>
      </c>
      <c r="H372" s="15"/>
      <c r="I372" s="174">
        <f>14048000-87800</f>
        <v>13960200</v>
      </c>
      <c r="J372" s="26">
        <v>13960200</v>
      </c>
      <c r="K372" s="112">
        <f t="shared" si="4"/>
        <v>0</v>
      </c>
    </row>
    <row r="373" spans="1:11" ht="15">
      <c r="A373" s="166">
        <v>44399</v>
      </c>
      <c r="B373" s="168" t="s">
        <v>2122</v>
      </c>
      <c r="C373" s="28" t="s">
        <v>2778</v>
      </c>
      <c r="D373" s="28" t="s">
        <v>2640</v>
      </c>
      <c r="E373" s="178" t="s">
        <v>2831</v>
      </c>
      <c r="F373" s="184"/>
      <c r="G373" s="230" t="s">
        <v>2843</v>
      </c>
      <c r="H373" s="15"/>
      <c r="I373" s="174">
        <v>23113300</v>
      </c>
      <c r="J373" s="26">
        <v>23113300</v>
      </c>
      <c r="K373" s="112">
        <f t="shared" si="4"/>
        <v>0</v>
      </c>
    </row>
    <row r="374" spans="1:11" ht="15">
      <c r="A374" s="166">
        <v>44406</v>
      </c>
      <c r="B374" s="168" t="s">
        <v>2180</v>
      </c>
      <c r="C374" s="28" t="s">
        <v>2425</v>
      </c>
      <c r="D374" s="28" t="s">
        <v>2783</v>
      </c>
      <c r="E374" s="178" t="s">
        <v>2832</v>
      </c>
      <c r="F374" s="184"/>
      <c r="G374" s="230" t="s">
        <v>330</v>
      </c>
      <c r="H374" s="15"/>
      <c r="I374" s="174">
        <v>21196800</v>
      </c>
      <c r="J374" s="26">
        <v>21196800</v>
      </c>
      <c r="K374" s="112">
        <f t="shared" si="4"/>
        <v>0</v>
      </c>
    </row>
    <row r="375" spans="1:11" ht="15">
      <c r="A375" s="166">
        <v>44406</v>
      </c>
      <c r="B375" s="168" t="s">
        <v>1942</v>
      </c>
      <c r="C375" s="28" t="s">
        <v>2784</v>
      </c>
      <c r="D375" s="28" t="s">
        <v>2785</v>
      </c>
      <c r="E375" s="178" t="s">
        <v>2808</v>
      </c>
      <c r="F375" s="184"/>
      <c r="G375" s="230" t="s">
        <v>129</v>
      </c>
      <c r="H375" s="15"/>
      <c r="I375" s="174">
        <v>13960200</v>
      </c>
      <c r="J375" s="26">
        <v>13345600</v>
      </c>
      <c r="K375" s="112">
        <f t="shared" si="4"/>
        <v>614600</v>
      </c>
    </row>
    <row r="376" spans="1:11" ht="15">
      <c r="A376" s="166">
        <v>44406</v>
      </c>
      <c r="B376" s="168" t="s">
        <v>2391</v>
      </c>
      <c r="C376" s="28" t="s">
        <v>2779</v>
      </c>
      <c r="D376" s="28" t="s">
        <v>2786</v>
      </c>
      <c r="E376" s="178" t="s">
        <v>2808</v>
      </c>
      <c r="F376" s="184"/>
      <c r="G376" s="230" t="s">
        <v>225</v>
      </c>
      <c r="H376" s="15"/>
      <c r="I376" s="174">
        <f>13960200-702400</f>
        <v>13257800</v>
      </c>
      <c r="J376" s="26">
        <v>13257800</v>
      </c>
      <c r="K376" s="112">
        <f t="shared" si="4"/>
        <v>0</v>
      </c>
    </row>
    <row r="377" spans="1:11" ht="15">
      <c r="A377" s="166">
        <v>44406</v>
      </c>
      <c r="B377" s="168" t="s">
        <v>2287</v>
      </c>
      <c r="C377" s="28" t="s">
        <v>2787</v>
      </c>
      <c r="D377" s="28" t="s">
        <v>2663</v>
      </c>
      <c r="E377" s="178" t="s">
        <v>2808</v>
      </c>
      <c r="F377" s="184"/>
      <c r="G377" s="230" t="s">
        <v>64</v>
      </c>
      <c r="H377" s="15"/>
      <c r="I377" s="174">
        <f>14048000-702400</f>
        <v>13345600</v>
      </c>
      <c r="J377" s="26">
        <v>13345600</v>
      </c>
      <c r="K377" s="112">
        <f t="shared" si="4"/>
        <v>0</v>
      </c>
    </row>
    <row r="378" spans="1:11" ht="15">
      <c r="A378" s="166">
        <v>44410</v>
      </c>
      <c r="B378" s="168" t="s">
        <v>3277</v>
      </c>
      <c r="C378" s="28" t="s">
        <v>2399</v>
      </c>
      <c r="D378" s="28" t="s">
        <v>3141</v>
      </c>
      <c r="E378" s="178" t="s">
        <v>3254</v>
      </c>
      <c r="F378" s="184"/>
      <c r="G378" s="230" t="s">
        <v>612</v>
      </c>
      <c r="H378" s="15"/>
      <c r="I378" s="174">
        <v>23549400</v>
      </c>
      <c r="J378" s="26">
        <v>21659633</v>
      </c>
      <c r="K378" s="112">
        <f t="shared" si="4"/>
        <v>1889767</v>
      </c>
    </row>
    <row r="379" spans="1:11" ht="15">
      <c r="A379" s="166">
        <v>44412</v>
      </c>
      <c r="B379" s="168" t="s">
        <v>2297</v>
      </c>
      <c r="C379" s="28" t="s">
        <v>2667</v>
      </c>
      <c r="D379" s="28" t="s">
        <v>3232</v>
      </c>
      <c r="E379" s="178" t="s">
        <v>3255</v>
      </c>
      <c r="F379" s="184"/>
      <c r="G379" s="230" t="s">
        <v>1326</v>
      </c>
      <c r="H379" s="15"/>
      <c r="I379" s="174">
        <v>24173333</v>
      </c>
      <c r="J379" s="26">
        <v>24010000</v>
      </c>
      <c r="K379" s="112">
        <f t="shared" si="4"/>
        <v>163333</v>
      </c>
    </row>
    <row r="380" spans="1:11" ht="15">
      <c r="A380" s="166">
        <v>44413</v>
      </c>
      <c r="B380" s="168" t="s">
        <v>2952</v>
      </c>
      <c r="C380" s="28" t="s">
        <v>1892</v>
      </c>
      <c r="D380" s="28" t="s">
        <v>3170</v>
      </c>
      <c r="E380" s="178" t="s">
        <v>3256</v>
      </c>
      <c r="F380" s="184"/>
      <c r="G380" s="230" t="s">
        <v>1165</v>
      </c>
      <c r="H380" s="15"/>
      <c r="I380" s="174">
        <v>730000</v>
      </c>
      <c r="J380" s="26">
        <v>730000</v>
      </c>
      <c r="K380" s="112">
        <f t="shared" si="4"/>
        <v>0</v>
      </c>
    </row>
    <row r="381" spans="1:11" ht="15">
      <c r="A381" s="166">
        <v>44417</v>
      </c>
      <c r="B381" s="168" t="s">
        <v>2292</v>
      </c>
      <c r="C381" s="28" t="s">
        <v>3265</v>
      </c>
      <c r="D381" s="28" t="s">
        <v>2922</v>
      </c>
      <c r="E381" s="178" t="s">
        <v>3257</v>
      </c>
      <c r="F381" s="184"/>
      <c r="G381" s="230" t="s">
        <v>74</v>
      </c>
      <c r="H381" s="15"/>
      <c r="I381" s="174">
        <f>26412373-723626</f>
        <v>25688747</v>
      </c>
      <c r="J381" s="26">
        <v>25688747</v>
      </c>
      <c r="K381" s="112">
        <f t="shared" si="4"/>
        <v>0</v>
      </c>
    </row>
    <row r="382" spans="1:11" ht="15">
      <c r="A382" s="166">
        <v>44417</v>
      </c>
      <c r="B382" s="168" t="s">
        <v>2296</v>
      </c>
      <c r="C382" s="28" t="s">
        <v>2615</v>
      </c>
      <c r="D382" s="28" t="s">
        <v>3266</v>
      </c>
      <c r="E382" s="178" t="s">
        <v>2799</v>
      </c>
      <c r="F382" s="184"/>
      <c r="G382" s="230" t="s">
        <v>3249</v>
      </c>
      <c r="H382" s="15"/>
      <c r="I382" s="174">
        <v>10240000</v>
      </c>
      <c r="J382" s="26">
        <v>9693867</v>
      </c>
      <c r="K382" s="112">
        <f t="shared" si="4"/>
        <v>546133</v>
      </c>
    </row>
    <row r="383" spans="1:11" ht="15">
      <c r="A383" s="166">
        <v>44417</v>
      </c>
      <c r="B383" s="168" t="s">
        <v>2231</v>
      </c>
      <c r="C383" s="28" t="s">
        <v>3267</v>
      </c>
      <c r="D383" s="28" t="s">
        <v>3268</v>
      </c>
      <c r="E383" s="178" t="s">
        <v>3258</v>
      </c>
      <c r="F383" s="184"/>
      <c r="G383" s="230" t="s">
        <v>1329</v>
      </c>
      <c r="H383" s="15"/>
      <c r="I383" s="174">
        <f>31850000-1300000</f>
        <v>30550000</v>
      </c>
      <c r="J383" s="26">
        <v>30550000</v>
      </c>
      <c r="K383" s="112">
        <f t="shared" si="4"/>
        <v>0</v>
      </c>
    </row>
    <row r="384" spans="1:11" ht="15">
      <c r="A384" s="166">
        <v>44420</v>
      </c>
      <c r="B384" s="168" t="s">
        <v>2344</v>
      </c>
      <c r="C384" s="28" t="s">
        <v>3269</v>
      </c>
      <c r="D384" s="28" t="s">
        <v>3270</v>
      </c>
      <c r="E384" s="178" t="s">
        <v>3259</v>
      </c>
      <c r="F384" s="184"/>
      <c r="G384" s="230" t="s">
        <v>3250</v>
      </c>
      <c r="H384" s="15"/>
      <c r="I384" s="174">
        <f>22500000-3450000</f>
        <v>19050000</v>
      </c>
      <c r="J384" s="26">
        <v>19050000</v>
      </c>
      <c r="K384" s="112">
        <f t="shared" si="4"/>
        <v>0</v>
      </c>
    </row>
    <row r="385" spans="1:11" ht="15">
      <c r="A385" s="166">
        <v>44428</v>
      </c>
      <c r="B385" s="168" t="s">
        <v>2513</v>
      </c>
      <c r="C385" s="28" t="s">
        <v>3028</v>
      </c>
      <c r="D385" s="28" t="s">
        <v>3271</v>
      </c>
      <c r="E385" s="178" t="s">
        <v>3260</v>
      </c>
      <c r="F385" s="184"/>
      <c r="G385" s="230" t="s">
        <v>3251</v>
      </c>
      <c r="H385" s="15"/>
      <c r="I385" s="174">
        <v>13179682</v>
      </c>
      <c r="J385" s="26">
        <v>13179682</v>
      </c>
      <c r="K385" s="112">
        <f t="shared" si="4"/>
        <v>0</v>
      </c>
    </row>
    <row r="386" spans="1:11" ht="15">
      <c r="A386" s="166">
        <v>44431</v>
      </c>
      <c r="B386" s="168" t="s">
        <v>2601</v>
      </c>
      <c r="C386" s="28" t="s">
        <v>3226</v>
      </c>
      <c r="D386" s="28" t="s">
        <v>3272</v>
      </c>
      <c r="E386" s="178" t="s">
        <v>3261</v>
      </c>
      <c r="F386" s="184"/>
      <c r="G386" s="188" t="s">
        <v>235</v>
      </c>
      <c r="H386" s="15"/>
      <c r="I386" s="174">
        <f>27648000-2048000</f>
        <v>25600000</v>
      </c>
      <c r="J386" s="26">
        <v>25600000</v>
      </c>
      <c r="K386" s="112">
        <f t="shared" si="4"/>
        <v>0</v>
      </c>
    </row>
    <row r="387" spans="1:11" ht="15">
      <c r="A387" s="166">
        <v>44433</v>
      </c>
      <c r="B387" s="168" t="s">
        <v>2604</v>
      </c>
      <c r="C387" s="28" t="s">
        <v>3273</v>
      </c>
      <c r="D387" s="28" t="s">
        <v>3274</v>
      </c>
      <c r="E387" s="178" t="s">
        <v>3262</v>
      </c>
      <c r="F387" s="184"/>
      <c r="G387" s="188" t="s">
        <v>3252</v>
      </c>
      <c r="H387" s="15"/>
      <c r="I387" s="174">
        <v>30333333</v>
      </c>
      <c r="J387" s="26">
        <v>28000000</v>
      </c>
      <c r="K387" s="112">
        <f t="shared" si="4"/>
        <v>2333333</v>
      </c>
    </row>
    <row r="388" spans="1:11" ht="15">
      <c r="A388" s="166">
        <v>44438</v>
      </c>
      <c r="B388" s="168" t="s">
        <v>2608</v>
      </c>
      <c r="C388" s="28" t="s">
        <v>2868</v>
      </c>
      <c r="D388" s="28" t="s">
        <v>3275</v>
      </c>
      <c r="E388" s="178" t="s">
        <v>3263</v>
      </c>
      <c r="F388" s="184"/>
      <c r="G388" s="188" t="s">
        <v>3253</v>
      </c>
      <c r="H388" s="15"/>
      <c r="I388" s="174">
        <v>35632000</v>
      </c>
      <c r="J388" s="26">
        <v>35632000</v>
      </c>
      <c r="K388" s="112">
        <f t="shared" si="4"/>
        <v>0</v>
      </c>
    </row>
    <row r="389" spans="1:11" ht="15">
      <c r="A389" s="166">
        <v>44439</v>
      </c>
      <c r="B389" s="169" t="s">
        <v>2772</v>
      </c>
      <c r="C389" s="93" t="s">
        <v>2871</v>
      </c>
      <c r="D389" s="93" t="s">
        <v>3276</v>
      </c>
      <c r="E389" s="187" t="s">
        <v>3264</v>
      </c>
      <c r="F389" s="190"/>
      <c r="G389" s="189" t="s">
        <v>1351</v>
      </c>
      <c r="H389" s="167"/>
      <c r="I389" s="174">
        <v>15118133</v>
      </c>
      <c r="J389" s="26">
        <v>15118133</v>
      </c>
      <c r="K389" s="112">
        <f t="shared" si="5" ref="K389:K450">+I389-J389</f>
        <v>0</v>
      </c>
    </row>
    <row r="390" spans="1:11" ht="15">
      <c r="A390" s="166">
        <v>44440</v>
      </c>
      <c r="B390" s="267">
        <v>1206</v>
      </c>
      <c r="C390" s="206">
        <v>1470</v>
      </c>
      <c r="D390" s="271">
        <v>1624</v>
      </c>
      <c r="E390" s="270" t="s">
        <v>3410</v>
      </c>
      <c r="F390" s="269"/>
      <c r="G390" s="270" t="s">
        <v>1364</v>
      </c>
      <c r="H390" s="167"/>
      <c r="I390" s="174">
        <v>32000000</v>
      </c>
      <c r="J390" s="26">
        <v>32000000</v>
      </c>
      <c r="K390" s="112">
        <f t="shared" si="5"/>
        <v>0</v>
      </c>
    </row>
    <row r="391" spans="1:11" ht="15">
      <c r="A391" s="166">
        <v>44441</v>
      </c>
      <c r="B391" s="206">
        <v>1210</v>
      </c>
      <c r="C391" s="93">
        <v>1483</v>
      </c>
      <c r="D391" s="169">
        <v>1630</v>
      </c>
      <c r="E391" s="189" t="s">
        <v>2808</v>
      </c>
      <c r="F391" s="269"/>
      <c r="G391" s="189" t="s">
        <v>1333</v>
      </c>
      <c r="H391" s="167"/>
      <c r="I391" s="174">
        <v>10536000</v>
      </c>
      <c r="J391" s="26">
        <v>10360400</v>
      </c>
      <c r="K391" s="112">
        <f t="shared" si="5"/>
        <v>175600</v>
      </c>
    </row>
    <row r="392" spans="1:11" ht="15">
      <c r="A392" s="166">
        <v>44445</v>
      </c>
      <c r="B392" s="93">
        <v>1214</v>
      </c>
      <c r="C392" s="93">
        <v>1449</v>
      </c>
      <c r="D392" s="169">
        <v>1638</v>
      </c>
      <c r="E392" s="189" t="s">
        <v>3411</v>
      </c>
      <c r="F392" s="269"/>
      <c r="G392" s="189" t="s">
        <v>3406</v>
      </c>
      <c r="H392" s="167"/>
      <c r="I392" s="174">
        <v>22275267</v>
      </c>
      <c r="J392" s="26">
        <v>18618133</v>
      </c>
      <c r="K392" s="112">
        <f t="shared" si="5"/>
        <v>3657134</v>
      </c>
    </row>
    <row r="393" spans="1:11" ht="15">
      <c r="A393" s="166">
        <v>44446</v>
      </c>
      <c r="B393" s="93">
        <v>53182849</v>
      </c>
      <c r="C393" s="93">
        <v>799</v>
      </c>
      <c r="D393" s="169">
        <v>1647</v>
      </c>
      <c r="E393" s="189" t="s">
        <v>3412</v>
      </c>
      <c r="F393" s="269"/>
      <c r="G393" s="189" t="s">
        <v>1165</v>
      </c>
      <c r="H393" s="167"/>
      <c r="I393" s="174">
        <v>729018</v>
      </c>
      <c r="J393" s="26">
        <v>729018</v>
      </c>
      <c r="K393" s="112">
        <f t="shared" si="5"/>
        <v>0</v>
      </c>
    </row>
    <row r="394" spans="1:11" ht="15">
      <c r="A394" s="166">
        <v>44447</v>
      </c>
      <c r="B394" s="93">
        <v>1224</v>
      </c>
      <c r="C394" s="93">
        <v>1493</v>
      </c>
      <c r="D394" s="169">
        <v>1662</v>
      </c>
      <c r="E394" s="189" t="s">
        <v>3413</v>
      </c>
      <c r="F394" s="269"/>
      <c r="G394" s="189" t="s">
        <v>3407</v>
      </c>
      <c r="H394" s="167"/>
      <c r="I394" s="174">
        <v>17153267</v>
      </c>
      <c r="J394" s="26">
        <v>16281067</v>
      </c>
      <c r="K394" s="112">
        <f t="shared" si="5"/>
        <v>872200</v>
      </c>
    </row>
    <row r="395" spans="1:11" ht="15">
      <c r="A395" s="166">
        <v>44448</v>
      </c>
      <c r="B395" s="93">
        <v>12209</v>
      </c>
      <c r="C395" s="93">
        <v>1489</v>
      </c>
      <c r="D395" s="169">
        <v>1666</v>
      </c>
      <c r="E395" s="189" t="s">
        <v>3414</v>
      </c>
      <c r="F395" s="269"/>
      <c r="G395" s="189" t="s">
        <v>1356</v>
      </c>
      <c r="H395" s="167"/>
      <c r="I395" s="174">
        <v>27200000</v>
      </c>
      <c r="J395" s="26">
        <v>23573333</v>
      </c>
      <c r="K395" s="112">
        <f t="shared" si="5"/>
        <v>3626667</v>
      </c>
    </row>
    <row r="396" spans="1:11" ht="15">
      <c r="A396" s="166">
        <v>44448</v>
      </c>
      <c r="B396" s="93">
        <v>1228</v>
      </c>
      <c r="C396" s="93">
        <v>1500</v>
      </c>
      <c r="D396" s="169">
        <v>1669</v>
      </c>
      <c r="E396" s="189" t="s">
        <v>2150</v>
      </c>
      <c r="F396" s="269"/>
      <c r="G396" s="189" t="s">
        <v>2087</v>
      </c>
      <c r="H396" s="167"/>
      <c r="I396" s="174">
        <v>13416667</v>
      </c>
      <c r="J396" s="26">
        <v>12600000</v>
      </c>
      <c r="K396" s="112">
        <f t="shared" si="5"/>
        <v>816667</v>
      </c>
    </row>
    <row r="397" spans="1:11" ht="15">
      <c r="A397" s="166">
        <v>44449</v>
      </c>
      <c r="B397" s="93">
        <v>142</v>
      </c>
      <c r="C397" s="93">
        <v>1550</v>
      </c>
      <c r="D397" s="169">
        <v>1682</v>
      </c>
      <c r="E397" s="189" t="s">
        <v>3415</v>
      </c>
      <c r="F397" s="269"/>
      <c r="G397" s="189" t="s">
        <v>474</v>
      </c>
      <c r="H397" s="167"/>
      <c r="I397" s="174">
        <v>31334400</v>
      </c>
      <c r="J397" s="26">
        <v>31334400</v>
      </c>
      <c r="K397" s="112">
        <f t="shared" si="5"/>
        <v>0</v>
      </c>
    </row>
    <row r="398" spans="1:11" ht="15">
      <c r="A398" s="166">
        <v>44452</v>
      </c>
      <c r="B398" s="93">
        <v>1235</v>
      </c>
      <c r="C398" s="93">
        <v>1545</v>
      </c>
      <c r="D398" s="169">
        <v>1685</v>
      </c>
      <c r="E398" s="189" t="s">
        <v>3416</v>
      </c>
      <c r="F398" s="269"/>
      <c r="G398" s="189" t="s">
        <v>3408</v>
      </c>
      <c r="H398" s="167"/>
      <c r="I398" s="174">
        <f>31166667-566667</f>
        <v>30600000</v>
      </c>
      <c r="J398" s="26">
        <v>30600000</v>
      </c>
      <c r="K398" s="112">
        <f t="shared" si="5"/>
        <v>0</v>
      </c>
    </row>
    <row r="399" spans="1:11" ht="15">
      <c r="A399" s="166">
        <v>44454</v>
      </c>
      <c r="B399" s="93">
        <v>1223</v>
      </c>
      <c r="C399" s="93">
        <v>1490</v>
      </c>
      <c r="D399" s="169">
        <v>1689</v>
      </c>
      <c r="E399" s="189" t="s">
        <v>3417</v>
      </c>
      <c r="F399" s="269"/>
      <c r="G399" s="189" t="s">
        <v>1361</v>
      </c>
      <c r="H399" s="167"/>
      <c r="I399" s="174">
        <v>17444000</v>
      </c>
      <c r="J399" s="26">
        <v>13664467</v>
      </c>
      <c r="K399" s="112">
        <f t="shared" si="5"/>
        <v>3779533</v>
      </c>
    </row>
    <row r="400" spans="1:11" ht="15">
      <c r="A400" s="166">
        <v>44466</v>
      </c>
      <c r="B400" s="93">
        <v>368</v>
      </c>
      <c r="C400" s="93">
        <v>1607</v>
      </c>
      <c r="D400" s="169">
        <v>1767</v>
      </c>
      <c r="E400" s="189" t="s">
        <v>3418</v>
      </c>
      <c r="F400" s="269"/>
      <c r="G400" s="189" t="s">
        <v>638</v>
      </c>
      <c r="H400" s="167"/>
      <c r="I400" s="174">
        <v>18841600</v>
      </c>
      <c r="J400" s="26">
        <v>12697600</v>
      </c>
      <c r="K400" s="112">
        <f t="shared" si="5"/>
        <v>6144000</v>
      </c>
    </row>
    <row r="401" spans="1:11" ht="15">
      <c r="A401" s="166">
        <v>44469</v>
      </c>
      <c r="B401" s="93">
        <v>1273</v>
      </c>
      <c r="C401" s="93">
        <v>1619</v>
      </c>
      <c r="D401" s="169">
        <v>1781</v>
      </c>
      <c r="E401" s="189" t="s">
        <v>3419</v>
      </c>
      <c r="F401" s="269"/>
      <c r="G401" s="189" t="s">
        <v>3409</v>
      </c>
      <c r="H401" s="167"/>
      <c r="I401" s="174">
        <v>13500000</v>
      </c>
      <c r="J401" s="26">
        <v>13050000</v>
      </c>
      <c r="K401" s="112">
        <f t="shared" si="5"/>
        <v>450000</v>
      </c>
    </row>
    <row r="402" spans="1:11" ht="15">
      <c r="A402" s="166">
        <v>44469</v>
      </c>
      <c r="B402" s="93">
        <v>234</v>
      </c>
      <c r="C402" s="93">
        <v>1613</v>
      </c>
      <c r="D402" s="169">
        <v>1786</v>
      </c>
      <c r="E402" s="189" t="s">
        <v>3420</v>
      </c>
      <c r="F402" s="269"/>
      <c r="G402" s="189" t="s">
        <v>1324</v>
      </c>
      <c r="H402" s="167"/>
      <c r="I402" s="174">
        <v>21953333</v>
      </c>
      <c r="J402" s="26">
        <v>21953333</v>
      </c>
      <c r="K402" s="112">
        <f t="shared" si="5"/>
        <v>0</v>
      </c>
    </row>
    <row r="403" spans="1:11" ht="15">
      <c r="A403" s="166">
        <v>44469</v>
      </c>
      <c r="B403" s="93">
        <v>265</v>
      </c>
      <c r="C403" s="93">
        <v>1614</v>
      </c>
      <c r="D403" s="169">
        <v>1787</v>
      </c>
      <c r="E403" s="189" t="s">
        <v>3421</v>
      </c>
      <c r="F403" s="269"/>
      <c r="G403" s="189" t="s">
        <v>1319</v>
      </c>
      <c r="H403" s="167"/>
      <c r="I403" s="174">
        <v>17600000</v>
      </c>
      <c r="J403" s="26">
        <v>17600000</v>
      </c>
      <c r="K403" s="112">
        <f t="shared" si="5"/>
        <v>0</v>
      </c>
    </row>
    <row r="404" spans="1:11" ht="15">
      <c r="A404" s="166">
        <v>44470</v>
      </c>
      <c r="B404" s="206" t="s">
        <v>1402</v>
      </c>
      <c r="C404" s="206" t="s">
        <v>3731</v>
      </c>
      <c r="D404" s="206" t="s">
        <v>3732</v>
      </c>
      <c r="E404" s="189" t="s">
        <v>3715</v>
      </c>
      <c r="F404" s="269"/>
      <c r="G404" s="270" t="s">
        <v>3725</v>
      </c>
      <c r="H404" s="167"/>
      <c r="I404" s="174">
        <v>14833333</v>
      </c>
      <c r="J404" s="26">
        <v>14666666</v>
      </c>
      <c r="K404" s="112">
        <f t="shared" si="5"/>
        <v>166667</v>
      </c>
    </row>
    <row r="405" spans="1:11" ht="15">
      <c r="A405" s="166">
        <v>44473</v>
      </c>
      <c r="B405" s="93" t="s">
        <v>1486</v>
      </c>
      <c r="C405" s="93" t="s">
        <v>3733</v>
      </c>
      <c r="D405" s="93" t="s">
        <v>3734</v>
      </c>
      <c r="E405" s="189" t="s">
        <v>3716</v>
      </c>
      <c r="F405" s="269"/>
      <c r="G405" s="189" t="s">
        <v>1916</v>
      </c>
      <c r="H405" s="167"/>
      <c r="I405" s="174">
        <v>20266667</v>
      </c>
      <c r="J405" s="26">
        <v>20266667</v>
      </c>
      <c r="K405" s="112">
        <f t="shared" si="5"/>
        <v>0</v>
      </c>
    </row>
    <row r="406" spans="1:11" ht="15">
      <c r="A406" s="166">
        <v>44474</v>
      </c>
      <c r="B406" s="93" t="s">
        <v>1540</v>
      </c>
      <c r="C406" s="93" t="s">
        <v>3735</v>
      </c>
      <c r="D406" s="93" t="s">
        <v>3736</v>
      </c>
      <c r="E406" s="189" t="s">
        <v>3717</v>
      </c>
      <c r="F406" s="269"/>
      <c r="G406" s="189" t="s">
        <v>1918</v>
      </c>
      <c r="H406" s="167"/>
      <c r="I406" s="174">
        <v>2362100</v>
      </c>
      <c r="J406" s="26">
        <v>2362100</v>
      </c>
      <c r="K406" s="112">
        <f t="shared" si="5"/>
        <v>0</v>
      </c>
    </row>
    <row r="407" spans="1:11" ht="15">
      <c r="A407" s="166">
        <v>44475</v>
      </c>
      <c r="B407" s="93" t="s">
        <v>3503</v>
      </c>
      <c r="C407" s="93" t="s">
        <v>1892</v>
      </c>
      <c r="D407" s="93" t="s">
        <v>3737</v>
      </c>
      <c r="E407" s="189" t="s">
        <v>3718</v>
      </c>
      <c r="F407" s="269"/>
      <c r="G407" s="189" t="s">
        <v>1165</v>
      </c>
      <c r="H407" s="167"/>
      <c r="I407" s="174">
        <v>1048310</v>
      </c>
      <c r="J407" s="26">
        <v>1048310</v>
      </c>
      <c r="K407" s="112">
        <f t="shared" si="5"/>
        <v>0</v>
      </c>
    </row>
    <row r="408" spans="1:11" ht="15">
      <c r="A408" s="166">
        <v>44476</v>
      </c>
      <c r="B408" s="93" t="s">
        <v>1190</v>
      </c>
      <c r="C408" s="93" t="s">
        <v>3738</v>
      </c>
      <c r="D408" s="93" t="s">
        <v>3739</v>
      </c>
      <c r="E408" s="189" t="s">
        <v>3719</v>
      </c>
      <c r="F408" s="269"/>
      <c r="G408" s="189" t="s">
        <v>1915</v>
      </c>
      <c r="H408" s="167"/>
      <c r="I408" s="174">
        <v>15800000</v>
      </c>
      <c r="J408" s="26">
        <v>15800000</v>
      </c>
      <c r="K408" s="112">
        <f t="shared" si="5"/>
        <v>0</v>
      </c>
    </row>
    <row r="409" spans="1:11" ht="15">
      <c r="A409" s="166">
        <v>44480</v>
      </c>
      <c r="B409" s="93" t="s">
        <v>1386</v>
      </c>
      <c r="C409" s="93" t="s">
        <v>3740</v>
      </c>
      <c r="D409" s="93" t="s">
        <v>3741</v>
      </c>
      <c r="E409" s="189" t="s">
        <v>3720</v>
      </c>
      <c r="F409" s="269"/>
      <c r="G409" s="189" t="s">
        <v>1348</v>
      </c>
      <c r="H409" s="167"/>
      <c r="I409" s="174">
        <v>14929920</v>
      </c>
      <c r="J409" s="26">
        <v>14929920</v>
      </c>
      <c r="K409" s="112">
        <f t="shared" si="5"/>
        <v>0</v>
      </c>
    </row>
    <row r="410" spans="1:11" ht="15">
      <c r="A410" s="166">
        <v>44481</v>
      </c>
      <c r="B410" s="93" t="s">
        <v>2635</v>
      </c>
      <c r="C410" s="93" t="s">
        <v>3742</v>
      </c>
      <c r="D410" s="93" t="s">
        <v>3743</v>
      </c>
      <c r="E410" s="189" t="s">
        <v>1622</v>
      </c>
      <c r="F410" s="269"/>
      <c r="G410" s="189" t="s">
        <v>3726</v>
      </c>
      <c r="H410" s="167"/>
      <c r="I410" s="174">
        <v>21391667</v>
      </c>
      <c r="J410" s="26">
        <v>17868333</v>
      </c>
      <c r="K410" s="112">
        <f t="shared" si="5"/>
        <v>3523334</v>
      </c>
    </row>
    <row r="411" spans="1:11" ht="15">
      <c r="A411" s="166">
        <v>44481</v>
      </c>
      <c r="B411" s="93" t="s">
        <v>2531</v>
      </c>
      <c r="C411" s="93" t="s">
        <v>3744</v>
      </c>
      <c r="D411" s="93" t="s">
        <v>3745</v>
      </c>
      <c r="E411" s="189" t="s">
        <v>2804</v>
      </c>
      <c r="F411" s="269"/>
      <c r="G411" s="189" t="s">
        <v>3727</v>
      </c>
      <c r="H411" s="167"/>
      <c r="I411" s="174">
        <v>7463000</v>
      </c>
      <c r="J411" s="26">
        <v>6760600</v>
      </c>
      <c r="K411" s="112">
        <f t="shared" si="5"/>
        <v>702400</v>
      </c>
    </row>
    <row r="412" spans="1:11" ht="15">
      <c r="A412" s="166">
        <v>44481</v>
      </c>
      <c r="B412" s="93" t="s">
        <v>1736</v>
      </c>
      <c r="C412" s="93" t="s">
        <v>3746</v>
      </c>
      <c r="D412" s="93" t="s">
        <v>3747</v>
      </c>
      <c r="E412" s="189" t="s">
        <v>3721</v>
      </c>
      <c r="F412" s="269"/>
      <c r="G412" s="189" t="s">
        <v>2389</v>
      </c>
      <c r="H412" s="167"/>
      <c r="I412" s="174">
        <v>14000000</v>
      </c>
      <c r="J412" s="26">
        <v>14000000</v>
      </c>
      <c r="K412" s="112">
        <f t="shared" si="5"/>
        <v>0</v>
      </c>
    </row>
    <row r="413" spans="1:11" ht="15">
      <c r="A413" s="166">
        <v>44484</v>
      </c>
      <c r="B413" s="93" t="s">
        <v>2429</v>
      </c>
      <c r="C413" s="93" t="s">
        <v>3748</v>
      </c>
      <c r="D413" s="93" t="s">
        <v>3749</v>
      </c>
      <c r="E413" s="189" t="s">
        <v>3722</v>
      </c>
      <c r="F413" s="269"/>
      <c r="G413" s="189" t="s">
        <v>3728</v>
      </c>
      <c r="H413" s="167"/>
      <c r="I413" s="174">
        <v>12500000</v>
      </c>
      <c r="J413" s="26">
        <v>11833333</v>
      </c>
      <c r="K413" s="112">
        <f t="shared" si="5"/>
        <v>666667</v>
      </c>
    </row>
    <row r="414" spans="1:11" ht="15">
      <c r="A414" s="166">
        <v>44484</v>
      </c>
      <c r="B414" s="93" t="s">
        <v>2653</v>
      </c>
      <c r="C414" s="93" t="s">
        <v>3750</v>
      </c>
      <c r="D414" s="93" t="s">
        <v>3751</v>
      </c>
      <c r="E414" s="189" t="s">
        <v>1692</v>
      </c>
      <c r="F414" s="269"/>
      <c r="G414" s="189" t="s">
        <v>1685</v>
      </c>
      <c r="H414" s="167"/>
      <c r="I414" s="174">
        <v>15000000</v>
      </c>
      <c r="J414" s="26">
        <v>15000000</v>
      </c>
      <c r="K414" s="112">
        <f t="shared" si="5"/>
        <v>0</v>
      </c>
    </row>
    <row r="415" spans="1:11" ht="15">
      <c r="A415" s="166">
        <v>44496</v>
      </c>
      <c r="B415" s="93" t="s">
        <v>2870</v>
      </c>
      <c r="C415" s="93" t="s">
        <v>3752</v>
      </c>
      <c r="D415" s="93" t="s">
        <v>3753</v>
      </c>
      <c r="E415" s="189" t="s">
        <v>3723</v>
      </c>
      <c r="F415" s="269"/>
      <c r="G415" s="189" t="s">
        <v>3729</v>
      </c>
      <c r="H415" s="167"/>
      <c r="I415" s="174">
        <v>9012733</v>
      </c>
      <c r="J415" s="26">
        <v>7704433</v>
      </c>
      <c r="K415" s="112">
        <f t="shared" si="5"/>
        <v>1308300</v>
      </c>
    </row>
    <row r="416" spans="1:11" ht="22.5" customHeight="1">
      <c r="A416" s="166">
        <v>44497</v>
      </c>
      <c r="B416" s="93" t="s">
        <v>2866</v>
      </c>
      <c r="C416" s="93" t="s">
        <v>3754</v>
      </c>
      <c r="D416" s="93" t="s">
        <v>3755</v>
      </c>
      <c r="E416" s="189" t="s">
        <v>3724</v>
      </c>
      <c r="F416" s="269"/>
      <c r="G416" s="189" t="s">
        <v>3730</v>
      </c>
      <c r="H416" s="167"/>
      <c r="I416" s="174">
        <v>9600000</v>
      </c>
      <c r="J416" s="26">
        <v>9280000</v>
      </c>
      <c r="K416" s="112">
        <f t="shared" si="5"/>
        <v>320000</v>
      </c>
    </row>
    <row r="417" spans="1:11" ht="22.5" customHeight="1">
      <c r="A417" s="166">
        <v>44503</v>
      </c>
      <c r="B417" s="206">
        <v>1350</v>
      </c>
      <c r="C417" s="271">
        <v>1734</v>
      </c>
      <c r="D417" s="206">
        <v>1934</v>
      </c>
      <c r="E417" s="189" t="s">
        <v>3883</v>
      </c>
      <c r="F417" s="269"/>
      <c r="G417" s="270" t="s">
        <v>3882</v>
      </c>
      <c r="H417" s="167"/>
      <c r="I417" s="174">
        <v>9000000</v>
      </c>
      <c r="J417" s="26">
        <v>8700000</v>
      </c>
      <c r="K417" s="112">
        <f t="shared" si="5"/>
        <v>300000</v>
      </c>
    </row>
    <row r="418" spans="1:11" ht="22.5" customHeight="1">
      <c r="A418" s="166">
        <v>44505</v>
      </c>
      <c r="B418" s="93">
        <v>54517685</v>
      </c>
      <c r="C418" s="169">
        <v>799</v>
      </c>
      <c r="D418" s="93">
        <v>1953</v>
      </c>
      <c r="E418" s="189" t="s">
        <v>3884</v>
      </c>
      <c r="F418" s="269"/>
      <c r="G418" s="189" t="s">
        <v>1165</v>
      </c>
      <c r="H418" s="167"/>
      <c r="I418" s="174">
        <v>1067475</v>
      </c>
      <c r="J418" s="26">
        <v>1067475</v>
      </c>
      <c r="K418" s="112">
        <f t="shared" si="5"/>
        <v>0</v>
      </c>
    </row>
    <row r="419" spans="1:11" ht="22.5" customHeight="1">
      <c r="A419" s="166">
        <v>44511</v>
      </c>
      <c r="B419" s="93">
        <v>1372</v>
      </c>
      <c r="C419" s="169">
        <v>1617</v>
      </c>
      <c r="D419" s="93">
        <v>1975</v>
      </c>
      <c r="E419" s="189" t="s">
        <v>3781</v>
      </c>
      <c r="F419" s="269"/>
      <c r="G419" s="189" t="s">
        <v>3800</v>
      </c>
      <c r="H419" s="167"/>
      <c r="I419" s="174">
        <v>20000000</v>
      </c>
      <c r="J419" s="26">
        <v>6548245</v>
      </c>
      <c r="K419" s="112">
        <f t="shared" si="5"/>
        <v>13451755</v>
      </c>
    </row>
    <row r="420" spans="1:11" ht="15">
      <c r="A420" s="166">
        <v>44512</v>
      </c>
      <c r="B420" s="93">
        <v>1383</v>
      </c>
      <c r="C420" s="169">
        <v>1770</v>
      </c>
      <c r="D420" s="93">
        <v>1982</v>
      </c>
      <c r="E420" s="189" t="s">
        <v>3833</v>
      </c>
      <c r="F420" s="269"/>
      <c r="G420" s="189" t="s">
        <v>3813</v>
      </c>
      <c r="H420" s="167"/>
      <c r="I420" s="174">
        <v>135000000</v>
      </c>
      <c r="J420" s="26">
        <v>0</v>
      </c>
      <c r="K420" s="112">
        <f t="shared" si="5"/>
        <v>135000000</v>
      </c>
    </row>
    <row r="421" spans="1:11" ht="15">
      <c r="A421" s="166">
        <v>44530</v>
      </c>
      <c r="B421" s="93">
        <v>92</v>
      </c>
      <c r="C421" s="169">
        <v>1803</v>
      </c>
      <c r="D421" s="93">
        <v>2029</v>
      </c>
      <c r="E421" s="187" t="s">
        <v>3885</v>
      </c>
      <c r="F421" s="269"/>
      <c r="G421" s="189" t="s">
        <v>67</v>
      </c>
      <c r="H421" s="167"/>
      <c r="I421" s="174">
        <v>6900000</v>
      </c>
      <c r="J421" s="26">
        <v>6900000</v>
      </c>
      <c r="K421" s="112">
        <f t="shared" si="5"/>
        <v>0</v>
      </c>
    </row>
    <row r="422" spans="1:11" ht="15">
      <c r="A422" s="166">
        <v>44530</v>
      </c>
      <c r="B422" s="93">
        <v>116</v>
      </c>
      <c r="C422" s="169">
        <v>1802</v>
      </c>
      <c r="D422" s="93">
        <v>2030</v>
      </c>
      <c r="E422" s="187" t="s">
        <v>3886</v>
      </c>
      <c r="F422" s="269"/>
      <c r="G422" s="189" t="s">
        <v>364</v>
      </c>
      <c r="H422" s="167"/>
      <c r="I422" s="174">
        <v>4864000</v>
      </c>
      <c r="J422" s="26">
        <v>4864000</v>
      </c>
      <c r="K422" s="112">
        <f t="shared" si="5"/>
        <v>0</v>
      </c>
    </row>
    <row r="423" spans="1:11" ht="15">
      <c r="A423" s="166">
        <v>44533</v>
      </c>
      <c r="B423" s="169">
        <v>75</v>
      </c>
      <c r="C423" s="169">
        <v>1829</v>
      </c>
      <c r="D423" s="93">
        <v>2040</v>
      </c>
      <c r="E423" s="189" t="s">
        <v>3986</v>
      </c>
      <c r="F423" s="282"/>
      <c r="G423" s="189" t="s">
        <v>336</v>
      </c>
      <c r="H423" s="167"/>
      <c r="I423" s="174">
        <v>3230733</v>
      </c>
      <c r="J423" s="26">
        <v>3230733</v>
      </c>
      <c r="K423" s="112">
        <f t="shared" si="5"/>
        <v>0</v>
      </c>
    </row>
    <row r="424" spans="1:11" ht="15">
      <c r="A424" s="166">
        <v>44533</v>
      </c>
      <c r="B424" s="169">
        <v>2</v>
      </c>
      <c r="C424" s="169">
        <v>1830</v>
      </c>
      <c r="D424" s="93">
        <v>2041</v>
      </c>
      <c r="E424" s="189" t="s">
        <v>3987</v>
      </c>
      <c r="F424" s="282"/>
      <c r="G424" s="189" t="s">
        <v>3982</v>
      </c>
      <c r="H424" s="167"/>
      <c r="I424" s="174">
        <v>4166667</v>
      </c>
      <c r="J424" s="26">
        <v>4166667</v>
      </c>
      <c r="K424" s="112">
        <f t="shared" si="5"/>
        <v>0</v>
      </c>
    </row>
    <row r="425" spans="1:11" ht="15">
      <c r="A425" s="166">
        <v>44536</v>
      </c>
      <c r="B425" s="169">
        <v>55</v>
      </c>
      <c r="C425" s="169">
        <v>1840</v>
      </c>
      <c r="D425" s="93">
        <v>2051</v>
      </c>
      <c r="E425" s="189" t="s">
        <v>3988</v>
      </c>
      <c r="F425" s="282"/>
      <c r="G425" s="189" t="s">
        <v>56</v>
      </c>
      <c r="H425" s="167"/>
      <c r="I425" s="174">
        <v>5120000</v>
      </c>
      <c r="J425" s="26">
        <v>4096000</v>
      </c>
      <c r="K425" s="112">
        <f t="shared" si="5"/>
        <v>1024000</v>
      </c>
    </row>
    <row r="426" spans="1:11" ht="15">
      <c r="A426" s="166">
        <v>44536</v>
      </c>
      <c r="B426" s="169">
        <v>56</v>
      </c>
      <c r="C426" s="169">
        <v>1839</v>
      </c>
      <c r="D426" s="93">
        <v>2052</v>
      </c>
      <c r="E426" s="189" t="s">
        <v>3989</v>
      </c>
      <c r="F426" s="282"/>
      <c r="G426" s="189" t="s">
        <v>3983</v>
      </c>
      <c r="H426" s="167"/>
      <c r="I426" s="174">
        <v>5000000</v>
      </c>
      <c r="J426" s="26">
        <v>4000000</v>
      </c>
      <c r="K426" s="112">
        <f t="shared" si="5"/>
        <v>1000000</v>
      </c>
    </row>
    <row r="427" spans="1:11" ht="15">
      <c r="A427" s="166">
        <v>44536</v>
      </c>
      <c r="B427" s="169">
        <v>54</v>
      </c>
      <c r="C427" s="169">
        <v>1841</v>
      </c>
      <c r="D427" s="93">
        <v>2053</v>
      </c>
      <c r="E427" s="189" t="s">
        <v>3990</v>
      </c>
      <c r="F427" s="282"/>
      <c r="G427" s="189" t="s">
        <v>422</v>
      </c>
      <c r="H427" s="167"/>
      <c r="I427" s="174">
        <v>3800000</v>
      </c>
      <c r="J427" s="26">
        <v>3800000</v>
      </c>
      <c r="K427" s="112">
        <f t="shared" si="5"/>
        <v>0</v>
      </c>
    </row>
    <row r="428" spans="1:11" ht="15">
      <c r="A428" s="166">
        <v>44537</v>
      </c>
      <c r="B428" s="169">
        <v>76</v>
      </c>
      <c r="C428" s="169">
        <v>1842</v>
      </c>
      <c r="D428" s="93">
        <v>2063</v>
      </c>
      <c r="E428" s="189" t="s">
        <v>3991</v>
      </c>
      <c r="F428" s="282"/>
      <c r="G428" s="189" t="s">
        <v>131</v>
      </c>
      <c r="H428" s="167"/>
      <c r="I428" s="174">
        <v>5120000</v>
      </c>
      <c r="J428" s="26">
        <v>3584001</v>
      </c>
      <c r="K428" s="112">
        <f t="shared" si="5"/>
        <v>1535999</v>
      </c>
    </row>
    <row r="429" spans="1:11" ht="15">
      <c r="A429" s="166">
        <v>44537</v>
      </c>
      <c r="B429" s="169">
        <v>72</v>
      </c>
      <c r="C429" s="169">
        <v>1843</v>
      </c>
      <c r="D429" s="93">
        <v>2064</v>
      </c>
      <c r="E429" s="189" t="s">
        <v>3992</v>
      </c>
      <c r="F429" s="282"/>
      <c r="G429" s="189" t="s">
        <v>185</v>
      </c>
      <c r="H429" s="167"/>
      <c r="I429" s="174">
        <v>5120000</v>
      </c>
      <c r="J429" s="26">
        <v>3242667</v>
      </c>
      <c r="K429" s="112">
        <f t="shared" si="5"/>
        <v>1877333</v>
      </c>
    </row>
    <row r="430" spans="1:11" ht="15">
      <c r="A430" s="166">
        <v>44537</v>
      </c>
      <c r="B430" s="169">
        <v>1197</v>
      </c>
      <c r="C430" s="169">
        <v>1850</v>
      </c>
      <c r="D430" s="93">
        <v>2066</v>
      </c>
      <c r="E430" s="189" t="s">
        <v>3993</v>
      </c>
      <c r="F430" s="282"/>
      <c r="G430" s="189" t="s">
        <v>3984</v>
      </c>
      <c r="H430" s="167"/>
      <c r="I430" s="174">
        <v>80033</v>
      </c>
      <c r="J430" s="26">
        <v>80033</v>
      </c>
      <c r="K430" s="112">
        <f t="shared" si="5"/>
        <v>0</v>
      </c>
    </row>
    <row r="431" spans="1:11" ht="15">
      <c r="A431" s="166">
        <v>44540</v>
      </c>
      <c r="B431" s="169">
        <v>63</v>
      </c>
      <c r="C431" s="169">
        <v>1855</v>
      </c>
      <c r="D431" s="93">
        <v>2171</v>
      </c>
      <c r="E431" s="189" t="s">
        <v>3994</v>
      </c>
      <c r="F431" s="282"/>
      <c r="G431" s="189" t="s">
        <v>77</v>
      </c>
      <c r="H431" s="167"/>
      <c r="I431" s="174">
        <v>5000000</v>
      </c>
      <c r="J431" s="26">
        <v>3166667</v>
      </c>
      <c r="K431" s="112">
        <f t="shared" si="5"/>
        <v>1833333</v>
      </c>
    </row>
    <row r="432" spans="1:11" ht="15">
      <c r="A432" s="166">
        <v>44540</v>
      </c>
      <c r="B432" s="169">
        <v>304</v>
      </c>
      <c r="C432" s="169">
        <v>1856</v>
      </c>
      <c r="D432" s="93">
        <v>2173</v>
      </c>
      <c r="E432" s="189" t="s">
        <v>3995</v>
      </c>
      <c r="F432" s="282"/>
      <c r="G432" s="189" t="s">
        <v>417</v>
      </c>
      <c r="H432" s="167"/>
      <c r="I432" s="174">
        <v>3481600</v>
      </c>
      <c r="J432" s="26">
        <v>1228800</v>
      </c>
      <c r="K432" s="112">
        <f t="shared" si="5"/>
        <v>2252800</v>
      </c>
    </row>
    <row r="433" spans="1:11" ht="15">
      <c r="A433" s="166">
        <v>44544</v>
      </c>
      <c r="B433" s="169">
        <v>680</v>
      </c>
      <c r="C433" s="169">
        <v>1861</v>
      </c>
      <c r="D433" s="93">
        <v>2179</v>
      </c>
      <c r="E433" s="189" t="s">
        <v>3996</v>
      </c>
      <c r="F433" s="282"/>
      <c r="G433" s="189" t="s">
        <v>1917</v>
      </c>
      <c r="H433" s="167"/>
      <c r="I433" s="174">
        <v>800000</v>
      </c>
      <c r="J433" s="26">
        <v>800000</v>
      </c>
      <c r="K433" s="112">
        <f t="shared" si="5"/>
        <v>0</v>
      </c>
    </row>
    <row r="434" spans="1:11" ht="15">
      <c r="A434" s="166">
        <v>44544</v>
      </c>
      <c r="B434" s="169">
        <v>182</v>
      </c>
      <c r="C434" s="169">
        <v>1868</v>
      </c>
      <c r="D434" s="93">
        <v>2180</v>
      </c>
      <c r="E434" s="189" t="s">
        <v>3997</v>
      </c>
      <c r="F434" s="282"/>
      <c r="G434" s="189" t="s">
        <v>143</v>
      </c>
      <c r="H434" s="167"/>
      <c r="I434" s="174">
        <v>2730667</v>
      </c>
      <c r="J434" s="26">
        <v>2730667</v>
      </c>
      <c r="K434" s="112">
        <f t="shared" si="5"/>
        <v>0</v>
      </c>
    </row>
    <row r="435" spans="1:11" ht="15">
      <c r="A435" s="166">
        <v>44544</v>
      </c>
      <c r="B435" s="169">
        <v>191</v>
      </c>
      <c r="C435" s="169">
        <v>1809</v>
      </c>
      <c r="D435" s="93">
        <v>2182</v>
      </c>
      <c r="E435" s="189" t="s">
        <v>3998</v>
      </c>
      <c r="F435" s="282"/>
      <c r="G435" s="189" t="s">
        <v>157</v>
      </c>
      <c r="H435" s="167"/>
      <c r="I435" s="174">
        <v>5280000</v>
      </c>
      <c r="J435" s="26">
        <v>4950000</v>
      </c>
      <c r="K435" s="112">
        <f t="shared" si="5"/>
        <v>330000</v>
      </c>
    </row>
    <row r="436" spans="1:11" ht="15">
      <c r="A436" s="166">
        <v>44545</v>
      </c>
      <c r="B436" s="169">
        <v>55354364</v>
      </c>
      <c r="C436" s="169">
        <v>799</v>
      </c>
      <c r="D436" s="93">
        <v>2186</v>
      </c>
      <c r="E436" s="189" t="s">
        <v>3999</v>
      </c>
      <c r="F436" s="282"/>
      <c r="G436" s="189" t="s">
        <v>1165</v>
      </c>
      <c r="H436" s="167"/>
      <c r="I436" s="174">
        <v>1099624</v>
      </c>
      <c r="J436" s="26">
        <v>1099624</v>
      </c>
      <c r="K436" s="112">
        <f t="shared" si="5"/>
        <v>0</v>
      </c>
    </row>
    <row r="437" spans="1:11" ht="15">
      <c r="A437" s="166">
        <v>44545</v>
      </c>
      <c r="B437" s="169">
        <v>838</v>
      </c>
      <c r="C437" s="169">
        <v>1864</v>
      </c>
      <c r="D437" s="93">
        <v>2191</v>
      </c>
      <c r="E437" s="189" t="s">
        <v>4000</v>
      </c>
      <c r="F437" s="282"/>
      <c r="G437" s="189" t="s">
        <v>1684</v>
      </c>
      <c r="H437" s="167"/>
      <c r="I437" s="174">
        <v>4096000</v>
      </c>
      <c r="J437" s="26">
        <v>2048000</v>
      </c>
      <c r="K437" s="112">
        <f t="shared" si="5"/>
        <v>2048000</v>
      </c>
    </row>
    <row r="438" spans="1:11" ht="15">
      <c r="A438" s="166">
        <v>44546</v>
      </c>
      <c r="B438" s="169">
        <v>793</v>
      </c>
      <c r="C438" s="169">
        <v>1863</v>
      </c>
      <c r="D438" s="93">
        <v>2194</v>
      </c>
      <c r="E438" s="189" t="s">
        <v>4001</v>
      </c>
      <c r="F438" s="282"/>
      <c r="G438" s="189" t="s">
        <v>1360</v>
      </c>
      <c r="H438" s="167"/>
      <c r="I438" s="174">
        <v>2304000</v>
      </c>
      <c r="J438" s="26">
        <v>1024000</v>
      </c>
      <c r="K438" s="112">
        <f t="shared" si="5"/>
        <v>1280000</v>
      </c>
    </row>
    <row r="439" spans="1:11" ht="15">
      <c r="A439" s="166">
        <v>44547</v>
      </c>
      <c r="B439" s="169">
        <v>777</v>
      </c>
      <c r="C439" s="169">
        <v>1883</v>
      </c>
      <c r="D439" s="93">
        <v>2197</v>
      </c>
      <c r="E439" s="189" t="s">
        <v>4002</v>
      </c>
      <c r="F439" s="282"/>
      <c r="G439" s="189" t="s">
        <v>1355</v>
      </c>
      <c r="H439" s="167"/>
      <c r="I439" s="174">
        <v>2662400</v>
      </c>
      <c r="J439" s="26">
        <v>1153707</v>
      </c>
      <c r="K439" s="112">
        <f t="shared" si="5"/>
        <v>1508693</v>
      </c>
    </row>
    <row r="440" spans="1:11" ht="15">
      <c r="A440" s="166">
        <v>44547</v>
      </c>
      <c r="B440" s="169">
        <v>782</v>
      </c>
      <c r="C440" s="169">
        <v>1865</v>
      </c>
      <c r="D440" s="93">
        <v>2200</v>
      </c>
      <c r="E440" s="189" t="s">
        <v>4003</v>
      </c>
      <c r="F440" s="282"/>
      <c r="G440" s="189" t="s">
        <v>1363</v>
      </c>
      <c r="H440" s="167"/>
      <c r="I440" s="174">
        <v>2560000</v>
      </c>
      <c r="J440" s="26">
        <v>1109333</v>
      </c>
      <c r="K440" s="112">
        <f t="shared" si="5"/>
        <v>1450667</v>
      </c>
    </row>
    <row r="441" spans="1:11" ht="15">
      <c r="A441" s="166">
        <v>44547</v>
      </c>
      <c r="B441" s="169">
        <v>808</v>
      </c>
      <c r="C441" s="169">
        <v>1895</v>
      </c>
      <c r="D441" s="93">
        <v>2236</v>
      </c>
      <c r="E441" s="189" t="s">
        <v>4004</v>
      </c>
      <c r="F441" s="282"/>
      <c r="G441" s="189" t="s">
        <v>1368</v>
      </c>
      <c r="H441" s="167"/>
      <c r="I441" s="174">
        <v>3276800</v>
      </c>
      <c r="J441" s="26">
        <v>1419942</v>
      </c>
      <c r="K441" s="112">
        <f t="shared" si="5"/>
        <v>1856858</v>
      </c>
    </row>
    <row r="442" spans="1:11" ht="15">
      <c r="A442" s="166">
        <v>44550</v>
      </c>
      <c r="B442" s="169">
        <v>697</v>
      </c>
      <c r="C442" s="169">
        <v>1867</v>
      </c>
      <c r="D442" s="93">
        <v>2239</v>
      </c>
      <c r="E442" s="189" t="s">
        <v>4005</v>
      </c>
      <c r="F442" s="282"/>
      <c r="G442" s="189" t="s">
        <v>610</v>
      </c>
      <c r="H442" s="167"/>
      <c r="I442" s="174">
        <v>4505600</v>
      </c>
      <c r="J442" s="26">
        <v>1024000</v>
      </c>
      <c r="K442" s="112">
        <f t="shared" si="5"/>
        <v>3481600</v>
      </c>
    </row>
    <row r="443" spans="1:11" ht="15">
      <c r="A443" s="166">
        <v>44552</v>
      </c>
      <c r="B443" s="169">
        <v>698</v>
      </c>
      <c r="C443" s="169">
        <v>1894</v>
      </c>
      <c r="D443" s="93">
        <v>2254</v>
      </c>
      <c r="E443" s="189" t="s">
        <v>4006</v>
      </c>
      <c r="F443" s="282"/>
      <c r="G443" s="189" t="s">
        <v>616</v>
      </c>
      <c r="H443" s="167"/>
      <c r="I443" s="174">
        <v>1931600</v>
      </c>
      <c r="J443" s="26">
        <v>439000</v>
      </c>
      <c r="K443" s="112">
        <f t="shared" si="5"/>
        <v>1492600</v>
      </c>
    </row>
    <row r="444" spans="1:11" ht="15">
      <c r="A444" s="166">
        <v>44553</v>
      </c>
      <c r="B444" s="169">
        <v>1268</v>
      </c>
      <c r="C444" s="169">
        <v>1909</v>
      </c>
      <c r="D444" s="93">
        <v>2264</v>
      </c>
      <c r="E444" s="189" t="s">
        <v>4007</v>
      </c>
      <c r="F444" s="282"/>
      <c r="G444" s="189" t="s">
        <v>226</v>
      </c>
      <c r="H444" s="167"/>
      <c r="I444" s="174">
        <v>63001</v>
      </c>
      <c r="J444" s="26">
        <v>63001</v>
      </c>
      <c r="K444" s="112">
        <f t="shared" si="5"/>
        <v>0</v>
      </c>
    </row>
    <row r="445" spans="1:11" ht="15">
      <c r="A445" s="166">
        <v>44554</v>
      </c>
      <c r="B445" s="169">
        <v>1344</v>
      </c>
      <c r="C445" s="169">
        <v>1912</v>
      </c>
      <c r="D445" s="93">
        <v>2268</v>
      </c>
      <c r="E445" s="189" t="s">
        <v>4008</v>
      </c>
      <c r="F445" s="282"/>
      <c r="G445" s="189" t="s">
        <v>3985</v>
      </c>
      <c r="H445" s="167"/>
      <c r="I445" s="174">
        <v>777333</v>
      </c>
      <c r="J445" s="26">
        <v>777333</v>
      </c>
      <c r="K445" s="112">
        <f t="shared" si="5"/>
        <v>0</v>
      </c>
    </row>
    <row r="446" spans="1:11" ht="15">
      <c r="A446" s="166">
        <v>44554</v>
      </c>
      <c r="B446" s="169">
        <v>935</v>
      </c>
      <c r="C446" s="169">
        <v>1911</v>
      </c>
      <c r="D446" s="93">
        <v>2269</v>
      </c>
      <c r="E446" s="189" t="s">
        <v>4009</v>
      </c>
      <c r="F446" s="282"/>
      <c r="G446" s="189" t="s">
        <v>140</v>
      </c>
      <c r="H446" s="167"/>
      <c r="I446" s="174">
        <v>426667</v>
      </c>
      <c r="J446" s="26">
        <v>426667</v>
      </c>
      <c r="K446" s="112">
        <f t="shared" si="5"/>
        <v>0</v>
      </c>
    </row>
    <row r="447" spans="1:11" ht="15">
      <c r="A447" s="166">
        <v>44554</v>
      </c>
      <c r="B447" s="271">
        <v>28</v>
      </c>
      <c r="C447" s="206">
        <v>1913</v>
      </c>
      <c r="D447" s="206">
        <v>2270</v>
      </c>
      <c r="E447" s="189" t="s">
        <v>4010</v>
      </c>
      <c r="F447" s="282"/>
      <c r="G447" s="270" t="s">
        <v>54</v>
      </c>
      <c r="H447" s="281"/>
      <c r="I447" s="174">
        <v>986667</v>
      </c>
      <c r="J447" s="26">
        <v>986667</v>
      </c>
      <c r="K447" s="112">
        <f t="shared" si="5"/>
        <v>0</v>
      </c>
    </row>
    <row r="448" spans="1:11" ht="15">
      <c r="A448" s="166">
        <v>44557</v>
      </c>
      <c r="B448" s="169">
        <v>1417</v>
      </c>
      <c r="C448" s="93">
        <v>1907</v>
      </c>
      <c r="D448" s="93">
        <v>2271</v>
      </c>
      <c r="E448" s="189" t="s">
        <v>4011</v>
      </c>
      <c r="F448" s="282"/>
      <c r="G448" s="189" t="s">
        <v>2389</v>
      </c>
      <c r="H448" s="167"/>
      <c r="I448" s="174">
        <v>14000000</v>
      </c>
      <c r="J448" s="26">
        <v>0</v>
      </c>
      <c r="K448" s="112">
        <f t="shared" si="5"/>
        <v>14000000</v>
      </c>
    </row>
    <row r="449" spans="1:11" ht="15">
      <c r="A449" s="166">
        <v>44559</v>
      </c>
      <c r="B449" s="169">
        <v>55687866</v>
      </c>
      <c r="C449" s="93">
        <v>799</v>
      </c>
      <c r="D449" s="93">
        <v>2278</v>
      </c>
      <c r="E449" s="189" t="s">
        <v>4012</v>
      </c>
      <c r="F449" s="282"/>
      <c r="G449" s="189" t="s">
        <v>1165</v>
      </c>
      <c r="H449" s="167"/>
      <c r="I449" s="174">
        <v>1099624</v>
      </c>
      <c r="J449" s="26">
        <v>1099624</v>
      </c>
      <c r="K449" s="112">
        <f t="shared" si="5"/>
        <v>0</v>
      </c>
    </row>
    <row r="450" spans="1:11" ht="15">
      <c r="A450" s="166">
        <v>44560</v>
      </c>
      <c r="B450" s="169">
        <v>1419</v>
      </c>
      <c r="C450" s="93">
        <v>1769</v>
      </c>
      <c r="D450" s="93">
        <v>2283</v>
      </c>
      <c r="E450" s="189" t="s">
        <v>3944</v>
      </c>
      <c r="F450" s="282"/>
      <c r="G450" s="189" t="s">
        <v>3916</v>
      </c>
      <c r="H450" s="167"/>
      <c r="I450" s="174">
        <v>250326813</v>
      </c>
      <c r="J450" s="26">
        <v>0</v>
      </c>
      <c r="K450" s="112">
        <f t="shared" si="5"/>
        <v>250326813</v>
      </c>
    </row>
    <row r="451" spans="1:11" ht="15">
      <c r="A451" s="17"/>
      <c r="B451" s="18"/>
      <c r="C451" s="18"/>
      <c r="D451" s="18"/>
      <c r="E451" s="17"/>
      <c r="F451" s="18"/>
      <c r="G451" s="298" t="s">
        <v>19</v>
      </c>
      <c r="H451" s="299"/>
      <c r="I451" s="209">
        <f>SUM(I13:I450)</f>
        <v>12718837893</v>
      </c>
      <c r="J451" s="209">
        <f>SUM(J13:J450)</f>
        <v>12164113708</v>
      </c>
      <c r="K451" s="209">
        <f>SUM(K13:K450)</f>
        <v>554724185</v>
      </c>
    </row>
    <row r="452" spans="1:11" ht="12.75" customHeight="1">
      <c r="A452" s="17"/>
      <c r="B452" s="18"/>
      <c r="C452" s="18"/>
      <c r="D452" s="18"/>
      <c r="E452" s="17"/>
      <c r="F452" s="22"/>
      <c r="G452" s="18"/>
      <c r="H452" s="18"/>
      <c r="I452" s="210"/>
      <c r="J452" s="22"/>
      <c r="K452" s="23"/>
    </row>
    <row r="453" spans="1:11" ht="24.95" customHeight="1">
      <c r="A453" s="76" t="s">
        <v>38</v>
      </c>
      <c r="B453" s="77" t="s">
        <v>40</v>
      </c>
      <c r="C453" s="76" t="s">
        <v>41</v>
      </c>
      <c r="D453" s="78" t="s">
        <v>39</v>
      </c>
      <c r="E453" s="76" t="s">
        <v>15</v>
      </c>
      <c r="F453" s="76" t="s">
        <v>34</v>
      </c>
      <c r="G453" s="76" t="s">
        <v>16</v>
      </c>
      <c r="H453" s="76" t="s">
        <v>22</v>
      </c>
      <c r="I453" s="76" t="s">
        <v>12</v>
      </c>
      <c r="J453" s="76" t="s">
        <v>23</v>
      </c>
      <c r="K453" s="76" t="s">
        <v>4</v>
      </c>
    </row>
    <row r="454" spans="1:11" ht="24.95" customHeight="1">
      <c r="A454" s="79">
        <v>12000000000</v>
      </c>
      <c r="B454" s="79">
        <v>1000000000</v>
      </c>
      <c r="C454" s="79">
        <v>0</v>
      </c>
      <c r="D454" s="80">
        <f>+A454+B454-C454</f>
        <v>13000000000</v>
      </c>
      <c r="E454" s="80">
        <f>+I451</f>
        <v>12718837893</v>
      </c>
      <c r="F454" s="81">
        <f>+E454/D454</f>
        <v>0.97837214561538466</v>
      </c>
      <c r="G454" s="80">
        <f>+I10</f>
        <v>0</v>
      </c>
      <c r="H454" s="80">
        <f>+D454-E454-G454</f>
        <v>281162107</v>
      </c>
      <c r="I454" s="211">
        <f>+J451</f>
        <v>12164113708</v>
      </c>
      <c r="J454" s="81">
        <f>+I454/D454</f>
        <v>0.93570105446153851</v>
      </c>
      <c r="K454" s="80">
        <f>+K451</f>
        <v>554724185</v>
      </c>
    </row>
    <row r="455" spans="1:11" ht="15">
      <c r="A455" s="82">
        <v>1</v>
      </c>
      <c r="B455" s="82">
        <v>2</v>
      </c>
      <c r="C455" s="82">
        <v>3</v>
      </c>
      <c r="D455" s="82" t="s">
        <v>3</v>
      </c>
      <c r="E455" s="82">
        <v>5</v>
      </c>
      <c r="F455" s="82" t="s">
        <v>18</v>
      </c>
      <c r="G455" s="82">
        <v>7</v>
      </c>
      <c r="H455" s="82" t="s">
        <v>9</v>
      </c>
      <c r="I455" s="82">
        <v>9</v>
      </c>
      <c r="J455" s="82" t="s">
        <v>24</v>
      </c>
      <c r="K455" s="82" t="s">
        <v>25</v>
      </c>
    </row>
    <row r="457" spans="2:2" ht="15">
      <c r="B457" s="68"/>
    </row>
    <row r="458" spans="2:9" ht="15">
      <c r="B458" s="68"/>
      <c r="I458" s="86"/>
    </row>
    <row r="459" spans="2:2" ht="15">
      <c r="B459" s="68"/>
    </row>
  </sheetData>
  <mergeCells count="16">
    <mergeCell ref="J11:J12"/>
    <mergeCell ref="E12:F12"/>
    <mergeCell ref="G12:H12"/>
    <mergeCell ref="A3:J3"/>
    <mergeCell ref="A5:A6"/>
    <mergeCell ref="B5:B6"/>
    <mergeCell ref="D5:D6"/>
    <mergeCell ref="E5:H5"/>
    <mergeCell ref="I5:I6"/>
    <mergeCell ref="J5:K6"/>
    <mergeCell ref="E6:H6"/>
    <mergeCell ref="G451:H451"/>
    <mergeCell ref="G10:H10"/>
    <mergeCell ref="A11:A12"/>
    <mergeCell ref="E11:H11"/>
    <mergeCell ref="I11:I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L133"/>
  <sheetViews>
    <sheetView workbookViewId="0" topLeftCell="A106">
      <selection pane="topLeft" activeCell="K125" sqref="K125"/>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7" width="15.714285714285714" style="236" customWidth="1"/>
    <col min="8" max="11" width="15.714285714285714" style="3" customWidth="1"/>
    <col min="12" max="16384" width="11.428571428571429" style="3"/>
  </cols>
  <sheetData>
    <row r="1" spans="1:11" ht="12.75" customHeight="1">
      <c r="A1" s="1" t="s">
        <v>35</v>
      </c>
      <c r="B1" s="1"/>
      <c r="C1" s="1"/>
      <c r="D1" s="1"/>
      <c r="E1" s="2"/>
      <c r="F1" s="1"/>
      <c r="G1" s="216"/>
      <c r="H1" s="2"/>
      <c r="I1" s="2"/>
      <c r="J1" s="2"/>
      <c r="K1" s="2"/>
    </row>
    <row r="2" spans="1:11" ht="12.75" customHeight="1">
      <c r="A2" s="2"/>
      <c r="B2" s="2"/>
      <c r="C2" s="2"/>
      <c r="D2" s="2"/>
      <c r="E2" s="2"/>
      <c r="F2" s="2"/>
      <c r="G2" s="216"/>
      <c r="H2" s="2"/>
      <c r="I2" s="2"/>
      <c r="J2" s="2"/>
      <c r="K2" s="72"/>
    </row>
    <row r="3" spans="1:11" ht="15" customHeight="1">
      <c r="A3" s="284" t="s">
        <v>482</v>
      </c>
      <c r="B3" s="284"/>
      <c r="C3" s="284"/>
      <c r="D3" s="284"/>
      <c r="E3" s="284"/>
      <c r="F3" s="284"/>
      <c r="G3" s="284"/>
      <c r="H3" s="284"/>
      <c r="I3" s="284"/>
      <c r="J3" s="284"/>
      <c r="K3" s="74" t="s">
        <v>3889</v>
      </c>
    </row>
    <row r="4" spans="1:11" ht="12.75" customHeight="1">
      <c r="A4" s="4"/>
      <c r="B4" s="4"/>
      <c r="C4" s="4"/>
      <c r="D4" s="4"/>
      <c r="E4" s="4"/>
      <c r="F4" s="4"/>
      <c r="G4" s="218"/>
      <c r="H4" s="4"/>
      <c r="I4" s="4"/>
      <c r="J4" s="4"/>
      <c r="K4" s="5"/>
    </row>
    <row r="5" spans="1:11" ht="15">
      <c r="A5" s="287" t="s">
        <v>5</v>
      </c>
      <c r="B5" s="303" t="s">
        <v>26</v>
      </c>
      <c r="C5" s="103"/>
      <c r="D5" s="287" t="s">
        <v>17</v>
      </c>
      <c r="E5" s="300" t="s">
        <v>16</v>
      </c>
      <c r="F5" s="301"/>
      <c r="G5" s="301"/>
      <c r="H5" s="302"/>
      <c r="I5" s="287" t="s">
        <v>7</v>
      </c>
      <c r="J5" s="294" t="s">
        <v>21</v>
      </c>
      <c r="K5" s="295"/>
    </row>
    <row r="6" spans="1:11" ht="15">
      <c r="A6" s="288"/>
      <c r="B6" s="304"/>
      <c r="C6" s="104"/>
      <c r="D6" s="288"/>
      <c r="E6" s="300" t="s">
        <v>2</v>
      </c>
      <c r="F6" s="301"/>
      <c r="G6" s="301"/>
      <c r="H6" s="302"/>
      <c r="I6" s="288"/>
      <c r="J6" s="296"/>
      <c r="K6" s="297"/>
    </row>
    <row r="7" spans="1:11" ht="15" customHeight="1">
      <c r="A7" s="118"/>
      <c r="B7" s="8"/>
      <c r="C7" s="9"/>
      <c r="D7" s="186"/>
      <c r="E7" s="8"/>
      <c r="F7" s="10"/>
      <c r="G7" s="220"/>
      <c r="H7" s="12"/>
      <c r="I7" s="185"/>
      <c r="J7" s="8"/>
      <c r="K7" s="9"/>
    </row>
    <row r="8" spans="1:11" ht="15">
      <c r="A8" s="17"/>
      <c r="B8" s="18"/>
      <c r="C8" s="18"/>
      <c r="D8" s="18"/>
      <c r="E8" s="18"/>
      <c r="F8" s="18"/>
      <c r="G8" s="298" t="s">
        <v>19</v>
      </c>
      <c r="H8" s="299"/>
      <c r="I8" s="19">
        <f>SUM(I7:I7)</f>
        <v>0</v>
      </c>
      <c r="J8" s="20"/>
      <c r="K8" s="21"/>
    </row>
    <row r="9" spans="1:11" ht="15">
      <c r="A9" s="287" t="s">
        <v>5</v>
      </c>
      <c r="B9" s="32" t="s">
        <v>13</v>
      </c>
      <c r="C9" s="101" t="s">
        <v>20</v>
      </c>
      <c r="D9" s="24" t="s">
        <v>20</v>
      </c>
      <c r="E9" s="300" t="s">
        <v>15</v>
      </c>
      <c r="F9" s="301"/>
      <c r="G9" s="301"/>
      <c r="H9" s="302"/>
      <c r="I9" s="287" t="s">
        <v>7</v>
      </c>
      <c r="J9" s="287" t="s">
        <v>6</v>
      </c>
      <c r="K9" s="101" t="s">
        <v>0</v>
      </c>
    </row>
    <row r="10" spans="1:11" ht="15">
      <c r="A10" s="288"/>
      <c r="B10" s="102" t="s">
        <v>14</v>
      </c>
      <c r="C10" s="102" t="s">
        <v>11</v>
      </c>
      <c r="D10" s="102" t="s">
        <v>10</v>
      </c>
      <c r="E10" s="300" t="s">
        <v>2</v>
      </c>
      <c r="F10" s="302"/>
      <c r="G10" s="300" t="s">
        <v>8</v>
      </c>
      <c r="H10" s="302"/>
      <c r="I10" s="288"/>
      <c r="J10" s="288"/>
      <c r="K10" s="102" t="s">
        <v>1</v>
      </c>
    </row>
    <row r="11" spans="1:11" ht="12.75" customHeight="1">
      <c r="A11" s="25">
        <v>44202</v>
      </c>
      <c r="B11" s="107">
        <v>42</v>
      </c>
      <c r="C11" s="69">
        <v>53</v>
      </c>
      <c r="D11" s="69">
        <v>14</v>
      </c>
      <c r="E11" s="8" t="s">
        <v>776</v>
      </c>
      <c r="F11" s="9"/>
      <c r="G11" s="237" t="s">
        <v>97</v>
      </c>
      <c r="H11" s="9"/>
      <c r="I11" s="26">
        <f>113363333-319333</f>
        <v>113044000</v>
      </c>
      <c r="J11" s="268">
        <v>113044000</v>
      </c>
      <c r="K11" s="26">
        <f>+I11-J11</f>
        <v>0</v>
      </c>
    </row>
    <row r="12" spans="1:11" ht="15">
      <c r="A12" s="25">
        <v>44202</v>
      </c>
      <c r="B12" s="28">
        <v>35</v>
      </c>
      <c r="C12" s="71">
        <v>3</v>
      </c>
      <c r="D12" s="71">
        <v>15</v>
      </c>
      <c r="E12" s="8" t="s">
        <v>777</v>
      </c>
      <c r="F12" s="29"/>
      <c r="G12" s="238" t="s">
        <v>104</v>
      </c>
      <c r="H12" s="30"/>
      <c r="I12" s="26">
        <v>72704000</v>
      </c>
      <c r="J12" s="268">
        <v>72499200</v>
      </c>
      <c r="K12" s="26">
        <f t="shared" si="0" ref="K12:K75">+I12-J12</f>
        <v>204800</v>
      </c>
    </row>
    <row r="13" spans="1:11" ht="15">
      <c r="A13" s="25">
        <v>44202</v>
      </c>
      <c r="B13" s="28">
        <v>17</v>
      </c>
      <c r="C13" s="71">
        <v>52</v>
      </c>
      <c r="D13" s="71">
        <v>28</v>
      </c>
      <c r="E13" s="8" t="s">
        <v>778</v>
      </c>
      <c r="F13" s="29"/>
      <c r="G13" s="238" t="s">
        <v>219</v>
      </c>
      <c r="H13" s="30"/>
      <c r="I13" s="26">
        <v>112416666</v>
      </c>
      <c r="J13" s="268">
        <v>112416666</v>
      </c>
      <c r="K13" s="26">
        <f t="shared" si="0"/>
        <v>0</v>
      </c>
    </row>
    <row r="14" spans="1:11" ht="15">
      <c r="A14" s="25">
        <v>44202</v>
      </c>
      <c r="B14" s="28">
        <v>18</v>
      </c>
      <c r="C14" s="71">
        <v>51</v>
      </c>
      <c r="D14" s="71">
        <v>29</v>
      </c>
      <c r="E14" s="8" t="s">
        <v>779</v>
      </c>
      <c r="F14" s="29"/>
      <c r="G14" s="238" t="s">
        <v>44</v>
      </c>
      <c r="H14" s="30"/>
      <c r="I14" s="26">
        <v>112416667</v>
      </c>
      <c r="J14" s="268">
        <v>112416667</v>
      </c>
      <c r="K14" s="26">
        <f t="shared" si="0"/>
        <v>0</v>
      </c>
    </row>
    <row r="15" spans="1:11" ht="15">
      <c r="A15" s="25">
        <v>44202</v>
      </c>
      <c r="B15" s="28">
        <v>15</v>
      </c>
      <c r="C15" s="71">
        <v>1</v>
      </c>
      <c r="D15" s="71">
        <v>30</v>
      </c>
      <c r="E15" s="8" t="s">
        <v>780</v>
      </c>
      <c r="F15" s="29"/>
      <c r="G15" s="238" t="s">
        <v>95</v>
      </c>
      <c r="H15" s="30"/>
      <c r="I15" s="26">
        <v>82833333</v>
      </c>
      <c r="J15" s="268">
        <v>82600000</v>
      </c>
      <c r="K15" s="26">
        <f t="shared" si="0"/>
        <v>233333</v>
      </c>
    </row>
    <row r="16" spans="1:11" ht="15">
      <c r="A16" s="25">
        <v>44202</v>
      </c>
      <c r="B16" s="28">
        <v>43</v>
      </c>
      <c r="C16" s="71">
        <v>113</v>
      </c>
      <c r="D16" s="71">
        <v>32</v>
      </c>
      <c r="E16" s="8" t="s">
        <v>781</v>
      </c>
      <c r="F16" s="29"/>
      <c r="G16" s="238" t="s">
        <v>339</v>
      </c>
      <c r="H16" s="30"/>
      <c r="I16" s="26">
        <f>50883333-42856666</f>
        <v>8026667</v>
      </c>
      <c r="J16" s="268">
        <v>8026667</v>
      </c>
      <c r="K16" s="26">
        <f t="shared" si="0"/>
        <v>0</v>
      </c>
    </row>
    <row r="17" spans="1:11" ht="15">
      <c r="A17" s="25">
        <v>44203</v>
      </c>
      <c r="B17" s="28">
        <v>16</v>
      </c>
      <c r="C17" s="71">
        <v>38</v>
      </c>
      <c r="D17" s="71">
        <v>40</v>
      </c>
      <c r="E17" s="8" t="s">
        <v>782</v>
      </c>
      <c r="F17" s="29"/>
      <c r="G17" s="238" t="s">
        <v>88</v>
      </c>
      <c r="H17" s="30"/>
      <c r="I17" s="26">
        <f>35140267-98987</f>
        <v>35041280</v>
      </c>
      <c r="J17" s="268">
        <v>35041280</v>
      </c>
      <c r="K17" s="26">
        <f t="shared" si="0"/>
        <v>0</v>
      </c>
    </row>
    <row r="18" spans="1:11" ht="15">
      <c r="A18" s="25">
        <v>44203</v>
      </c>
      <c r="B18" s="28">
        <v>13</v>
      </c>
      <c r="C18" s="71">
        <v>39</v>
      </c>
      <c r="D18" s="71">
        <v>43</v>
      </c>
      <c r="E18" s="8" t="s">
        <v>783</v>
      </c>
      <c r="F18" s="29"/>
      <c r="G18" s="238" t="s">
        <v>202</v>
      </c>
      <c r="H18" s="30"/>
      <c r="I18" s="26">
        <v>79496025</v>
      </c>
      <c r="J18" s="268">
        <v>73363474</v>
      </c>
      <c r="K18" s="26">
        <f t="shared" si="0"/>
        <v>6132551</v>
      </c>
    </row>
    <row r="19" spans="1:11" ht="15">
      <c r="A19" s="25">
        <v>44203</v>
      </c>
      <c r="B19" s="28">
        <v>23</v>
      </c>
      <c r="C19" s="71">
        <v>115</v>
      </c>
      <c r="D19" s="71">
        <v>49</v>
      </c>
      <c r="E19" s="8" t="s">
        <v>784</v>
      </c>
      <c r="F19" s="29"/>
      <c r="G19" s="238" t="s">
        <v>246</v>
      </c>
      <c r="H19" s="30"/>
      <c r="I19" s="26">
        <f>90880000-256000</f>
        <v>90624000</v>
      </c>
      <c r="J19" s="268">
        <v>90624000</v>
      </c>
      <c r="K19" s="26">
        <f t="shared" si="0"/>
        <v>0</v>
      </c>
    </row>
    <row r="20" spans="1:11" ht="15">
      <c r="A20" s="25">
        <v>44203</v>
      </c>
      <c r="B20" s="28">
        <v>7</v>
      </c>
      <c r="C20" s="71">
        <v>16</v>
      </c>
      <c r="D20" s="71">
        <v>51</v>
      </c>
      <c r="E20" s="8" t="s">
        <v>785</v>
      </c>
      <c r="F20" s="29"/>
      <c r="G20" s="238" t="s">
        <v>249</v>
      </c>
      <c r="H20" s="30"/>
      <c r="I20" s="26">
        <f>31505067-177494</f>
        <v>31327573</v>
      </c>
      <c r="J20" s="268">
        <v>31327573</v>
      </c>
      <c r="K20" s="26">
        <f t="shared" si="0"/>
        <v>0</v>
      </c>
    </row>
    <row r="21" spans="1:11" ht="15">
      <c r="A21" s="25">
        <v>44208</v>
      </c>
      <c r="B21" s="28">
        <v>86</v>
      </c>
      <c r="C21" s="71">
        <v>161</v>
      </c>
      <c r="D21" s="71">
        <v>85</v>
      </c>
      <c r="E21" s="8" t="s">
        <v>786</v>
      </c>
      <c r="F21" s="29"/>
      <c r="G21" s="238" t="s">
        <v>393</v>
      </c>
      <c r="H21" s="30"/>
      <c r="I21" s="26">
        <f>73366667-1240000</f>
        <v>72126667</v>
      </c>
      <c r="J21" s="268">
        <f>69026667-3100000</f>
        <v>65926667</v>
      </c>
      <c r="K21" s="26">
        <f t="shared" si="0"/>
        <v>6200000</v>
      </c>
    </row>
    <row r="22" spans="1:11" ht="15">
      <c r="A22" s="25">
        <v>44208</v>
      </c>
      <c r="B22" s="28">
        <v>87</v>
      </c>
      <c r="C22" s="71">
        <v>173</v>
      </c>
      <c r="D22" s="71">
        <v>86</v>
      </c>
      <c r="E22" s="8" t="s">
        <v>787</v>
      </c>
      <c r="F22" s="29"/>
      <c r="G22" s="238" t="s">
        <v>773</v>
      </c>
      <c r="H22" s="30"/>
      <c r="I22" s="26">
        <v>35000000</v>
      </c>
      <c r="J22" s="268">
        <v>34900000</v>
      </c>
      <c r="K22" s="26">
        <f t="shared" si="0"/>
        <v>100000</v>
      </c>
    </row>
    <row r="23" spans="1:11" ht="15">
      <c r="A23" s="25">
        <v>44208</v>
      </c>
      <c r="B23" s="28">
        <v>48</v>
      </c>
      <c r="C23" s="71">
        <v>162</v>
      </c>
      <c r="D23" s="71">
        <v>91</v>
      </c>
      <c r="E23" s="8" t="s">
        <v>788</v>
      </c>
      <c r="F23" s="29"/>
      <c r="G23" s="238" t="s">
        <v>343</v>
      </c>
      <c r="H23" s="30"/>
      <c r="I23" s="26">
        <f>96938667-1638400</f>
        <v>95300267</v>
      </c>
      <c r="J23" s="268">
        <v>95300267</v>
      </c>
      <c r="K23" s="26">
        <f t="shared" si="0"/>
        <v>0</v>
      </c>
    </row>
    <row r="24" spans="1:11" ht="15">
      <c r="A24" s="25">
        <v>44208</v>
      </c>
      <c r="B24" s="28">
        <v>96</v>
      </c>
      <c r="C24" s="71">
        <v>168</v>
      </c>
      <c r="D24" s="71">
        <v>106</v>
      </c>
      <c r="E24" s="8" t="s">
        <v>789</v>
      </c>
      <c r="F24" s="29"/>
      <c r="G24" s="238" t="s">
        <v>774</v>
      </c>
      <c r="H24" s="30"/>
      <c r="I24" s="26">
        <v>50833333</v>
      </c>
      <c r="J24" s="268">
        <v>49593334</v>
      </c>
      <c r="K24" s="26">
        <f t="shared" si="0"/>
        <v>1239999</v>
      </c>
    </row>
    <row r="25" spans="1:11" ht="15">
      <c r="A25" s="25">
        <v>44209</v>
      </c>
      <c r="B25" s="28">
        <v>131</v>
      </c>
      <c r="C25" s="71">
        <v>73</v>
      </c>
      <c r="D25" s="71">
        <v>116</v>
      </c>
      <c r="E25" s="8" t="s">
        <v>790</v>
      </c>
      <c r="F25" s="29"/>
      <c r="G25" s="238" t="s">
        <v>345</v>
      </c>
      <c r="H25" s="30"/>
      <c r="I25" s="26">
        <v>58880000</v>
      </c>
      <c r="J25" s="268">
        <v>58880000</v>
      </c>
      <c r="K25" s="26">
        <f t="shared" si="0"/>
        <v>0</v>
      </c>
    </row>
    <row r="26" spans="1:11" ht="15">
      <c r="A26" s="25">
        <v>44209</v>
      </c>
      <c r="B26" s="28">
        <v>139</v>
      </c>
      <c r="C26" s="71">
        <v>163</v>
      </c>
      <c r="D26" s="71">
        <v>117</v>
      </c>
      <c r="E26" s="8" t="s">
        <v>791</v>
      </c>
      <c r="F26" s="29"/>
      <c r="G26" s="238" t="s">
        <v>259</v>
      </c>
      <c r="H26" s="30"/>
      <c r="I26" s="26">
        <v>109250000</v>
      </c>
      <c r="J26" s="268">
        <v>94050000</v>
      </c>
      <c r="K26" s="26">
        <f t="shared" si="0"/>
        <v>15200000</v>
      </c>
    </row>
    <row r="27" spans="1:11" ht="15">
      <c r="A27" s="25">
        <v>44209</v>
      </c>
      <c r="B27" s="28">
        <v>132</v>
      </c>
      <c r="C27" s="71">
        <v>95</v>
      </c>
      <c r="D27" s="71">
        <v>121</v>
      </c>
      <c r="E27" s="8" t="s">
        <v>792</v>
      </c>
      <c r="F27" s="29"/>
      <c r="G27" s="238" t="s">
        <v>341</v>
      </c>
      <c r="H27" s="30"/>
      <c r="I27" s="26">
        <v>49450000</v>
      </c>
      <c r="J27" s="268">
        <v>49450000</v>
      </c>
      <c r="K27" s="26">
        <f t="shared" si="0"/>
        <v>0</v>
      </c>
    </row>
    <row r="28" spans="1:11" ht="15">
      <c r="A28" s="25">
        <v>44209</v>
      </c>
      <c r="B28" s="28">
        <v>122</v>
      </c>
      <c r="C28" s="71">
        <v>2</v>
      </c>
      <c r="D28" s="71">
        <v>125</v>
      </c>
      <c r="E28" s="8" t="s">
        <v>793</v>
      </c>
      <c r="F28" s="29"/>
      <c r="G28" s="238" t="s">
        <v>214</v>
      </c>
      <c r="H28" s="30"/>
      <c r="I28" s="26">
        <v>61226000</v>
      </c>
      <c r="J28" s="268">
        <v>61226000</v>
      </c>
      <c r="K28" s="26">
        <f t="shared" si="0"/>
        <v>0</v>
      </c>
    </row>
    <row r="29" spans="1:11" ht="15">
      <c r="A29" s="25">
        <v>44210</v>
      </c>
      <c r="B29" s="28">
        <v>52</v>
      </c>
      <c r="C29" s="71">
        <v>243</v>
      </c>
      <c r="D29" s="71">
        <v>155</v>
      </c>
      <c r="E29" s="8" t="s">
        <v>794</v>
      </c>
      <c r="F29" s="29"/>
      <c r="G29" s="238" t="s">
        <v>160</v>
      </c>
      <c r="H29" s="30"/>
      <c r="I29" s="26">
        <v>68889600</v>
      </c>
      <c r="J29" s="268">
        <v>68889600</v>
      </c>
      <c r="K29" s="26">
        <f t="shared" si="0"/>
        <v>0</v>
      </c>
    </row>
    <row r="30" spans="1:11" ht="15">
      <c r="A30" s="25">
        <v>44211</v>
      </c>
      <c r="B30" s="28">
        <v>145</v>
      </c>
      <c r="C30" s="71">
        <v>267</v>
      </c>
      <c r="D30" s="71">
        <v>162</v>
      </c>
      <c r="E30" s="8" t="s">
        <v>795</v>
      </c>
      <c r="F30" s="29"/>
      <c r="G30" s="238" t="s">
        <v>340</v>
      </c>
      <c r="H30" s="30"/>
      <c r="I30" s="26">
        <v>70656000</v>
      </c>
      <c r="J30" s="268">
        <v>70656000</v>
      </c>
      <c r="K30" s="26">
        <f t="shared" si="0"/>
        <v>0</v>
      </c>
    </row>
    <row r="31" spans="1:11" ht="15">
      <c r="A31" s="25">
        <v>44211</v>
      </c>
      <c r="B31" s="28">
        <v>53</v>
      </c>
      <c r="C31" s="71">
        <v>269</v>
      </c>
      <c r="D31" s="71">
        <v>172</v>
      </c>
      <c r="E31" s="8" t="s">
        <v>431</v>
      </c>
      <c r="F31" s="29"/>
      <c r="G31" s="238" t="s">
        <v>430</v>
      </c>
      <c r="H31" s="30"/>
      <c r="I31" s="26">
        <v>103500000</v>
      </c>
      <c r="J31" s="268">
        <v>103500000</v>
      </c>
      <c r="K31" s="26">
        <f t="shared" si="0"/>
        <v>0</v>
      </c>
    </row>
    <row r="32" spans="1:11" ht="15">
      <c r="A32" s="25">
        <v>44214</v>
      </c>
      <c r="B32" s="28">
        <v>220</v>
      </c>
      <c r="C32" s="71">
        <v>288</v>
      </c>
      <c r="D32" s="71">
        <v>207</v>
      </c>
      <c r="E32" s="8" t="s">
        <v>796</v>
      </c>
      <c r="F32" s="29"/>
      <c r="G32" s="238" t="s">
        <v>84</v>
      </c>
      <c r="H32" s="30"/>
      <c r="I32" s="26">
        <f>76544000-443733</f>
        <v>76100267</v>
      </c>
      <c r="J32" s="268">
        <v>76100267</v>
      </c>
      <c r="K32" s="26">
        <f t="shared" si="0"/>
        <v>0</v>
      </c>
    </row>
    <row r="33" spans="1:11" ht="15">
      <c r="A33" s="25">
        <v>44214</v>
      </c>
      <c r="B33" s="28">
        <v>51</v>
      </c>
      <c r="C33" s="71">
        <v>287</v>
      </c>
      <c r="D33" s="71">
        <v>213</v>
      </c>
      <c r="E33" s="8" t="s">
        <v>794</v>
      </c>
      <c r="F33" s="29"/>
      <c r="G33" s="238" t="s">
        <v>241</v>
      </c>
      <c r="H33" s="30"/>
      <c r="I33" s="26">
        <f>52992000-614400</f>
        <v>52377600</v>
      </c>
      <c r="J33" s="268">
        <v>52377600</v>
      </c>
      <c r="K33" s="26">
        <f t="shared" si="0"/>
        <v>0</v>
      </c>
    </row>
    <row r="34" spans="1:11" ht="15">
      <c r="A34" s="25">
        <v>44214</v>
      </c>
      <c r="B34" s="28">
        <v>187</v>
      </c>
      <c r="C34" s="71">
        <v>304</v>
      </c>
      <c r="D34" s="71">
        <v>215</v>
      </c>
      <c r="E34" s="8" t="s">
        <v>797</v>
      </c>
      <c r="F34" s="29"/>
      <c r="G34" s="238" t="s">
        <v>85</v>
      </c>
      <c r="H34" s="30"/>
      <c r="I34" s="26">
        <f>76544000-443733</f>
        <v>76100267</v>
      </c>
      <c r="J34" s="268">
        <v>76100267</v>
      </c>
      <c r="K34" s="26">
        <f t="shared" si="0"/>
        <v>0</v>
      </c>
    </row>
    <row r="35" spans="1:11" ht="15">
      <c r="A35" s="25">
        <v>44214</v>
      </c>
      <c r="B35" s="28">
        <v>228</v>
      </c>
      <c r="C35" s="71">
        <v>302</v>
      </c>
      <c r="D35" s="71">
        <v>228</v>
      </c>
      <c r="E35" s="8" t="s">
        <v>798</v>
      </c>
      <c r="F35" s="29"/>
      <c r="G35" s="238" t="s">
        <v>236</v>
      </c>
      <c r="H35" s="30"/>
      <c r="I35" s="26">
        <f>64768000-750933</f>
        <v>64017067</v>
      </c>
      <c r="J35" s="268">
        <v>64017067</v>
      </c>
      <c r="K35" s="26">
        <f t="shared" si="0"/>
        <v>0</v>
      </c>
    </row>
    <row r="36" spans="1:11" ht="15">
      <c r="A36" s="25">
        <v>44214</v>
      </c>
      <c r="B36" s="28">
        <v>233</v>
      </c>
      <c r="C36" s="71">
        <v>301</v>
      </c>
      <c r="D36" s="71">
        <v>229</v>
      </c>
      <c r="E36" s="8" t="s">
        <v>799</v>
      </c>
      <c r="F36" s="29"/>
      <c r="G36" s="238" t="s">
        <v>244</v>
      </c>
      <c r="H36" s="30"/>
      <c r="I36" s="26">
        <f>49459200-573440</f>
        <v>48885760</v>
      </c>
      <c r="J36" s="268">
        <v>48885760</v>
      </c>
      <c r="K36" s="26">
        <f t="shared" si="0"/>
        <v>0</v>
      </c>
    </row>
    <row r="37" spans="1:11" ht="15">
      <c r="A37" s="25">
        <v>44215</v>
      </c>
      <c r="B37" s="28">
        <v>50</v>
      </c>
      <c r="C37" s="71">
        <v>311</v>
      </c>
      <c r="D37" s="71">
        <v>235</v>
      </c>
      <c r="E37" s="8" t="s">
        <v>800</v>
      </c>
      <c r="F37" s="29"/>
      <c r="G37" s="238" t="s">
        <v>162</v>
      </c>
      <c r="H37" s="30"/>
      <c r="I37" s="26">
        <f>87135500-1010267</f>
        <v>86125233</v>
      </c>
      <c r="J37" s="268">
        <v>86125233</v>
      </c>
      <c r="K37" s="26">
        <f t="shared" si="0"/>
        <v>0</v>
      </c>
    </row>
    <row r="38" spans="1:11" ht="15">
      <c r="A38" s="25">
        <v>44215</v>
      </c>
      <c r="B38" s="28">
        <v>239</v>
      </c>
      <c r="C38" s="71">
        <v>338</v>
      </c>
      <c r="D38" s="71">
        <v>243</v>
      </c>
      <c r="E38" s="8" t="s">
        <v>801</v>
      </c>
      <c r="F38" s="29"/>
      <c r="G38" s="238" t="s">
        <v>57</v>
      </c>
      <c r="H38" s="30"/>
      <c r="I38" s="26">
        <v>67310933</v>
      </c>
      <c r="J38" s="268">
        <v>67310933</v>
      </c>
      <c r="K38" s="26">
        <f t="shared" si="0"/>
        <v>0</v>
      </c>
    </row>
    <row r="39" spans="1:11" ht="15">
      <c r="A39" s="25">
        <v>44216</v>
      </c>
      <c r="B39" s="28">
        <v>49</v>
      </c>
      <c r="C39" s="71">
        <v>346</v>
      </c>
      <c r="D39" s="71">
        <v>252</v>
      </c>
      <c r="E39" s="8" t="s">
        <v>802</v>
      </c>
      <c r="F39" s="29"/>
      <c r="G39" s="238" t="s">
        <v>81</v>
      </c>
      <c r="H39" s="30"/>
      <c r="I39" s="26">
        <f>75434667-30395734</f>
        <v>45038933</v>
      </c>
      <c r="J39" s="268">
        <v>45038933</v>
      </c>
      <c r="K39" s="26">
        <f t="shared" si="0"/>
        <v>0</v>
      </c>
    </row>
    <row r="40" spans="1:11" ht="15">
      <c r="A40" s="25">
        <v>44216</v>
      </c>
      <c r="B40" s="28">
        <v>240</v>
      </c>
      <c r="C40" s="71">
        <v>321</v>
      </c>
      <c r="D40" s="71">
        <v>254</v>
      </c>
      <c r="E40" s="8" t="s">
        <v>803</v>
      </c>
      <c r="F40" s="29"/>
      <c r="G40" s="238" t="s">
        <v>346</v>
      </c>
      <c r="H40" s="30"/>
      <c r="I40" s="26">
        <f>23210667-273067</f>
        <v>22937600</v>
      </c>
      <c r="J40" s="268">
        <v>22937600</v>
      </c>
      <c r="K40" s="26">
        <f t="shared" si="0"/>
        <v>0</v>
      </c>
    </row>
    <row r="41" spans="1:11" ht="15">
      <c r="A41" s="25">
        <v>44216</v>
      </c>
      <c r="B41" s="28">
        <v>252</v>
      </c>
      <c r="C41" s="71">
        <v>354</v>
      </c>
      <c r="D41" s="71">
        <v>255</v>
      </c>
      <c r="E41" s="8" t="s">
        <v>804</v>
      </c>
      <c r="F41" s="29"/>
      <c r="G41" s="238" t="s">
        <v>203</v>
      </c>
      <c r="H41" s="30"/>
      <c r="I41" s="26">
        <v>48742400</v>
      </c>
      <c r="J41" s="268">
        <v>48742400</v>
      </c>
      <c r="K41" s="26">
        <f t="shared" si="0"/>
        <v>0</v>
      </c>
    </row>
    <row r="42" spans="1:11" ht="15">
      <c r="A42" s="25">
        <v>44216</v>
      </c>
      <c r="B42" s="28">
        <v>253</v>
      </c>
      <c r="C42" s="71">
        <v>355</v>
      </c>
      <c r="D42" s="71">
        <v>256</v>
      </c>
      <c r="E42" s="8" t="s">
        <v>805</v>
      </c>
      <c r="F42" s="29"/>
      <c r="G42" s="238" t="s">
        <v>250</v>
      </c>
      <c r="H42" s="30"/>
      <c r="I42" s="26">
        <f>48742400-573440</f>
        <v>48168960</v>
      </c>
      <c r="J42" s="268">
        <v>48168960</v>
      </c>
      <c r="K42" s="26">
        <f t="shared" si="0"/>
        <v>0</v>
      </c>
    </row>
    <row r="43" spans="1:11" ht="15">
      <c r="A43" s="25">
        <v>44216</v>
      </c>
      <c r="B43" s="28">
        <v>261</v>
      </c>
      <c r="C43" s="71">
        <v>350</v>
      </c>
      <c r="D43" s="71">
        <v>258</v>
      </c>
      <c r="E43" s="8" t="s">
        <v>806</v>
      </c>
      <c r="F43" s="29"/>
      <c r="G43" s="238" t="s">
        <v>347</v>
      </c>
      <c r="H43" s="30"/>
      <c r="I43" s="26">
        <v>58026667</v>
      </c>
      <c r="J43" s="268">
        <v>58026667</v>
      </c>
      <c r="K43" s="26">
        <f t="shared" si="0"/>
        <v>0</v>
      </c>
    </row>
    <row r="44" spans="1:11" ht="15">
      <c r="A44" s="25">
        <v>44217</v>
      </c>
      <c r="B44" s="28">
        <v>255</v>
      </c>
      <c r="C44" s="71">
        <v>357</v>
      </c>
      <c r="D44" s="71">
        <v>261</v>
      </c>
      <c r="E44" s="8" t="s">
        <v>807</v>
      </c>
      <c r="F44" s="29"/>
      <c r="G44" s="238" t="s">
        <v>247</v>
      </c>
      <c r="H44" s="30"/>
      <c r="I44" s="26">
        <f>48742400-143360</f>
        <v>48599040</v>
      </c>
      <c r="J44" s="268">
        <v>48599040</v>
      </c>
      <c r="K44" s="26">
        <f t="shared" si="0"/>
        <v>0</v>
      </c>
    </row>
    <row r="45" spans="1:12" ht="15">
      <c r="A45" s="25">
        <v>44217</v>
      </c>
      <c r="B45" s="28">
        <v>260</v>
      </c>
      <c r="C45" s="71">
        <v>352</v>
      </c>
      <c r="D45" s="71">
        <v>262</v>
      </c>
      <c r="E45" s="8" t="s">
        <v>808</v>
      </c>
      <c r="F45" s="29"/>
      <c r="G45" s="238" t="s">
        <v>361</v>
      </c>
      <c r="H45" s="30"/>
      <c r="I45" s="26">
        <v>23210667</v>
      </c>
      <c r="J45" s="268">
        <v>23210667</v>
      </c>
      <c r="K45" s="26">
        <f t="shared" si="0"/>
        <v>0</v>
      </c>
      <c r="L45" s="8"/>
    </row>
    <row r="46" spans="1:11" ht="15">
      <c r="A46" s="25">
        <v>44217</v>
      </c>
      <c r="B46" s="28">
        <v>256</v>
      </c>
      <c r="C46" s="71">
        <v>360</v>
      </c>
      <c r="D46" s="71">
        <v>266</v>
      </c>
      <c r="E46" s="8" t="s">
        <v>809</v>
      </c>
      <c r="F46" s="29"/>
      <c r="G46" s="238" t="s">
        <v>194</v>
      </c>
      <c r="H46" s="30"/>
      <c r="I46" s="26">
        <f>75434667-221867</f>
        <v>75212800</v>
      </c>
      <c r="J46" s="268">
        <v>75212800</v>
      </c>
      <c r="K46" s="26">
        <f t="shared" si="0"/>
        <v>0</v>
      </c>
    </row>
    <row r="47" spans="1:11" ht="15">
      <c r="A47" s="25">
        <v>44217</v>
      </c>
      <c r="B47" s="28">
        <v>146</v>
      </c>
      <c r="C47" s="71">
        <v>368</v>
      </c>
      <c r="D47" s="71">
        <v>267</v>
      </c>
      <c r="E47" s="8" t="s">
        <v>797</v>
      </c>
      <c r="F47" s="29"/>
      <c r="G47" s="238" t="s">
        <v>163</v>
      </c>
      <c r="H47" s="30"/>
      <c r="I47" s="26">
        <v>41574400</v>
      </c>
      <c r="J47" s="268">
        <v>41574400</v>
      </c>
      <c r="K47" s="26">
        <f t="shared" si="0"/>
        <v>0</v>
      </c>
    </row>
    <row r="48" spans="1:11" ht="15">
      <c r="A48" s="25">
        <v>44217</v>
      </c>
      <c r="B48" s="28">
        <v>271</v>
      </c>
      <c r="C48" s="71">
        <v>367</v>
      </c>
      <c r="D48" s="71">
        <v>280</v>
      </c>
      <c r="E48" s="8" t="s">
        <v>810</v>
      </c>
      <c r="F48" s="29"/>
      <c r="G48" s="238" t="s">
        <v>370</v>
      </c>
      <c r="H48" s="30"/>
      <c r="I48" s="26">
        <v>52224000</v>
      </c>
      <c r="J48" s="268">
        <v>52224000</v>
      </c>
      <c r="K48" s="26">
        <f t="shared" si="0"/>
        <v>0</v>
      </c>
    </row>
    <row r="49" spans="1:11" ht="15">
      <c r="A49" s="25">
        <v>44217</v>
      </c>
      <c r="B49" s="28">
        <v>254</v>
      </c>
      <c r="C49" s="71">
        <v>356</v>
      </c>
      <c r="D49" s="71">
        <v>282</v>
      </c>
      <c r="E49" s="8" t="s">
        <v>811</v>
      </c>
      <c r="F49" s="29"/>
      <c r="G49" s="238" t="s">
        <v>371</v>
      </c>
      <c r="H49" s="30"/>
      <c r="I49" s="26">
        <f>48742400-143360</f>
        <v>48599040</v>
      </c>
      <c r="J49" s="268">
        <v>48599040</v>
      </c>
      <c r="K49" s="26">
        <f t="shared" si="0"/>
        <v>0</v>
      </c>
    </row>
    <row r="50" spans="1:11" ht="15">
      <c r="A50" s="25">
        <v>44218</v>
      </c>
      <c r="B50" s="28">
        <v>290</v>
      </c>
      <c r="C50" s="71">
        <v>397</v>
      </c>
      <c r="D50" s="71">
        <v>291</v>
      </c>
      <c r="E50" s="8" t="s">
        <v>812</v>
      </c>
      <c r="F50" s="29"/>
      <c r="G50" s="238" t="s">
        <v>360</v>
      </c>
      <c r="H50" s="30"/>
      <c r="I50" s="26">
        <v>48025600</v>
      </c>
      <c r="J50" s="268">
        <v>48025600</v>
      </c>
      <c r="K50" s="26">
        <f t="shared" si="0"/>
        <v>0</v>
      </c>
    </row>
    <row r="51" spans="1:11" ht="15">
      <c r="A51" s="25">
        <v>44221</v>
      </c>
      <c r="B51" s="28">
        <v>291</v>
      </c>
      <c r="C51" s="71">
        <v>374</v>
      </c>
      <c r="D51" s="71">
        <v>307</v>
      </c>
      <c r="E51" s="8" t="s">
        <v>813</v>
      </c>
      <c r="F51" s="29"/>
      <c r="G51" s="238" t="s">
        <v>248</v>
      </c>
      <c r="H51" s="30"/>
      <c r="I51" s="26">
        <v>47308800</v>
      </c>
      <c r="J51" s="268">
        <v>47308800</v>
      </c>
      <c r="K51" s="26">
        <f t="shared" si="0"/>
        <v>0</v>
      </c>
    </row>
    <row r="52" spans="1:11" ht="15">
      <c r="A52" s="25">
        <v>44221</v>
      </c>
      <c r="B52" s="28">
        <v>319</v>
      </c>
      <c r="C52" s="71">
        <v>373</v>
      </c>
      <c r="D52" s="71">
        <v>333</v>
      </c>
      <c r="E52" s="8" t="s">
        <v>814</v>
      </c>
      <c r="F52" s="29"/>
      <c r="G52" s="238" t="s">
        <v>242</v>
      </c>
      <c r="H52" s="30"/>
      <c r="I52" s="26">
        <f>52224000-768000</f>
        <v>51456000</v>
      </c>
      <c r="J52" s="268">
        <v>51456000</v>
      </c>
      <c r="K52" s="26">
        <f t="shared" si="0"/>
        <v>0</v>
      </c>
    </row>
    <row r="53" spans="1:11" ht="15">
      <c r="A53" s="25">
        <v>44221</v>
      </c>
      <c r="B53" s="28">
        <v>308</v>
      </c>
      <c r="C53" s="71">
        <v>403</v>
      </c>
      <c r="D53" s="71">
        <v>334</v>
      </c>
      <c r="E53" s="8" t="s">
        <v>815</v>
      </c>
      <c r="F53" s="29"/>
      <c r="G53" s="238" t="s">
        <v>86</v>
      </c>
      <c r="H53" s="30"/>
      <c r="I53" s="26">
        <f>75434667-887467</f>
        <v>74547200</v>
      </c>
      <c r="J53" s="268">
        <v>74547200</v>
      </c>
      <c r="K53" s="26">
        <f t="shared" si="0"/>
        <v>0</v>
      </c>
    </row>
    <row r="54" spans="1:11" ht="15">
      <c r="A54" s="25">
        <v>44222</v>
      </c>
      <c r="B54" s="28">
        <v>335</v>
      </c>
      <c r="C54" s="71">
        <v>358</v>
      </c>
      <c r="D54" s="71">
        <v>337</v>
      </c>
      <c r="E54" s="8" t="s">
        <v>816</v>
      </c>
      <c r="F54" s="29"/>
      <c r="G54" s="238" t="s">
        <v>161</v>
      </c>
      <c r="H54" s="30"/>
      <c r="I54" s="26">
        <v>65894400</v>
      </c>
      <c r="J54" s="268">
        <v>65894400</v>
      </c>
      <c r="K54" s="26">
        <f t="shared" si="0"/>
        <v>0</v>
      </c>
    </row>
    <row r="55" spans="1:11" ht="15">
      <c r="A55" s="25">
        <v>44222</v>
      </c>
      <c r="B55" s="28">
        <v>342</v>
      </c>
      <c r="C55" s="71">
        <v>447</v>
      </c>
      <c r="D55" s="71">
        <v>338</v>
      </c>
      <c r="E55" s="8" t="s">
        <v>817</v>
      </c>
      <c r="F55" s="29"/>
      <c r="G55" s="238" t="s">
        <v>239</v>
      </c>
      <c r="H55" s="30"/>
      <c r="I55" s="26">
        <f>73216000-17083734</f>
        <v>56132266</v>
      </c>
      <c r="J55" s="268">
        <v>56132266</v>
      </c>
      <c r="K55" s="26">
        <f t="shared" si="0"/>
        <v>0</v>
      </c>
    </row>
    <row r="56" spans="1:11" ht="15">
      <c r="A56" s="25">
        <v>44222</v>
      </c>
      <c r="B56" s="28">
        <v>295</v>
      </c>
      <c r="C56" s="71">
        <v>389</v>
      </c>
      <c r="D56" s="71">
        <v>343</v>
      </c>
      <c r="E56" s="8" t="s">
        <v>790</v>
      </c>
      <c r="F56" s="29"/>
      <c r="G56" s="238" t="s">
        <v>91</v>
      </c>
      <c r="H56" s="30"/>
      <c r="I56" s="26">
        <v>57173333</v>
      </c>
      <c r="J56" s="268">
        <v>57173333</v>
      </c>
      <c r="K56" s="26">
        <f t="shared" si="0"/>
        <v>0</v>
      </c>
    </row>
    <row r="57" spans="1:11" ht="15">
      <c r="A57" s="25">
        <v>44222</v>
      </c>
      <c r="B57" s="28">
        <v>317</v>
      </c>
      <c r="C57" s="71">
        <v>405</v>
      </c>
      <c r="D57" s="71">
        <v>348</v>
      </c>
      <c r="E57" s="8" t="s">
        <v>818</v>
      </c>
      <c r="F57" s="29"/>
      <c r="G57" s="238" t="s">
        <v>775</v>
      </c>
      <c r="H57" s="30"/>
      <c r="I57" s="26">
        <f>45738667-273067</f>
        <v>45465600</v>
      </c>
      <c r="J57" s="268">
        <v>45465600</v>
      </c>
      <c r="K57" s="26">
        <f t="shared" si="0"/>
        <v>0</v>
      </c>
    </row>
    <row r="58" spans="1:11" ht="15">
      <c r="A58" s="25">
        <v>44223</v>
      </c>
      <c r="B58" s="28">
        <v>356</v>
      </c>
      <c r="C58" s="71">
        <v>460</v>
      </c>
      <c r="D58" s="71">
        <v>374</v>
      </c>
      <c r="E58" s="8" t="s">
        <v>819</v>
      </c>
      <c r="F58" s="29"/>
      <c r="G58" s="238" t="s">
        <v>167</v>
      </c>
      <c r="H58" s="30"/>
      <c r="I58" s="26">
        <v>90112000</v>
      </c>
      <c r="J58" s="268">
        <v>90112000</v>
      </c>
      <c r="K58" s="26">
        <f t="shared" si="0"/>
        <v>0</v>
      </c>
    </row>
    <row r="59" spans="1:11" ht="15">
      <c r="A59" s="25">
        <v>44224</v>
      </c>
      <c r="B59" s="28">
        <v>360</v>
      </c>
      <c r="C59" s="71">
        <v>474</v>
      </c>
      <c r="D59" s="71">
        <v>384</v>
      </c>
      <c r="E59" s="8" t="s">
        <v>820</v>
      </c>
      <c r="F59" s="29"/>
      <c r="G59" s="238" t="s">
        <v>238</v>
      </c>
      <c r="H59" s="30"/>
      <c r="I59" s="26">
        <v>76595200</v>
      </c>
      <c r="J59" s="268">
        <v>76595200</v>
      </c>
      <c r="K59" s="26">
        <f t="shared" si="0"/>
        <v>0</v>
      </c>
    </row>
    <row r="60" spans="1:11" ht="15">
      <c r="A60" s="25">
        <v>44225</v>
      </c>
      <c r="B60" s="28">
        <v>378</v>
      </c>
      <c r="C60" s="71">
        <v>411</v>
      </c>
      <c r="D60" s="71">
        <v>404</v>
      </c>
      <c r="E60" s="8" t="s">
        <v>821</v>
      </c>
      <c r="F60" s="29"/>
      <c r="G60" s="238" t="s">
        <v>268</v>
      </c>
      <c r="H60" s="30"/>
      <c r="I60" s="26">
        <v>91477333</v>
      </c>
      <c r="J60" s="268">
        <v>89565867</v>
      </c>
      <c r="K60" s="26">
        <f t="shared" si="0"/>
        <v>1911466</v>
      </c>
    </row>
    <row r="61" spans="1:11" ht="15">
      <c r="A61" s="25">
        <v>44225</v>
      </c>
      <c r="B61" s="28">
        <v>393</v>
      </c>
      <c r="C61" s="71">
        <v>492</v>
      </c>
      <c r="D61" s="71">
        <v>406</v>
      </c>
      <c r="E61" s="194" t="s">
        <v>822</v>
      </c>
      <c r="F61" s="29"/>
      <c r="G61" s="188" t="s">
        <v>213</v>
      </c>
      <c r="H61" s="30"/>
      <c r="I61" s="26">
        <v>73216000</v>
      </c>
      <c r="J61" s="268">
        <v>73216000</v>
      </c>
      <c r="K61" s="26">
        <f t="shared" si="0"/>
        <v>0</v>
      </c>
    </row>
    <row r="62" spans="1:11" ht="15">
      <c r="A62" s="25">
        <v>44225</v>
      </c>
      <c r="B62" s="28">
        <v>391</v>
      </c>
      <c r="C62" s="71">
        <v>493</v>
      </c>
      <c r="D62" s="71">
        <v>407</v>
      </c>
      <c r="E62" s="194" t="s">
        <v>823</v>
      </c>
      <c r="F62" s="29"/>
      <c r="G62" s="188" t="s">
        <v>83</v>
      </c>
      <c r="H62" s="30"/>
      <c r="I62" s="26">
        <v>78848000</v>
      </c>
      <c r="J62" s="268">
        <v>78848000</v>
      </c>
      <c r="K62" s="26">
        <f t="shared" si="0"/>
        <v>0</v>
      </c>
    </row>
    <row r="63" spans="1:11" ht="15">
      <c r="A63" s="25">
        <v>44228</v>
      </c>
      <c r="B63" s="28" t="s">
        <v>1459</v>
      </c>
      <c r="C63" s="71" t="s">
        <v>908</v>
      </c>
      <c r="D63" s="71" t="s">
        <v>1452</v>
      </c>
      <c r="E63" s="177" t="s">
        <v>822</v>
      </c>
      <c r="F63" s="29"/>
      <c r="G63" s="188" t="s">
        <v>1433</v>
      </c>
      <c r="H63" s="30"/>
      <c r="I63" s="26">
        <f>47300000-143333</f>
        <v>47156667</v>
      </c>
      <c r="J63" s="268">
        <v>47156667</v>
      </c>
      <c r="K63" s="26">
        <f t="shared" si="0"/>
        <v>0</v>
      </c>
    </row>
    <row r="64" spans="1:11" ht="15">
      <c r="A64" s="25">
        <v>44228</v>
      </c>
      <c r="B64" s="28" t="s">
        <v>1268</v>
      </c>
      <c r="C64" s="71" t="s">
        <v>1415</v>
      </c>
      <c r="D64" s="71" t="s">
        <v>972</v>
      </c>
      <c r="E64" s="177" t="s">
        <v>1416</v>
      </c>
      <c r="F64" s="29"/>
      <c r="G64" s="188" t="s">
        <v>1434</v>
      </c>
      <c r="H64" s="30"/>
      <c r="I64" s="26">
        <v>66628267</v>
      </c>
      <c r="J64" s="268">
        <v>66628267</v>
      </c>
      <c r="K64" s="26">
        <f t="shared" si="0"/>
        <v>0</v>
      </c>
    </row>
    <row r="65" spans="1:11" ht="15">
      <c r="A65" s="25">
        <v>44229</v>
      </c>
      <c r="B65" s="28" t="s">
        <v>1452</v>
      </c>
      <c r="C65" s="71" t="s">
        <v>1126</v>
      </c>
      <c r="D65" s="71" t="s">
        <v>1091</v>
      </c>
      <c r="E65" s="177" t="s">
        <v>1417</v>
      </c>
      <c r="F65" s="29"/>
      <c r="G65" s="188" t="s">
        <v>1435</v>
      </c>
      <c r="H65" s="30"/>
      <c r="I65" s="26">
        <v>43690667</v>
      </c>
      <c r="J65" s="268">
        <v>43690667</v>
      </c>
      <c r="K65" s="26">
        <f t="shared" si="0"/>
        <v>0</v>
      </c>
    </row>
    <row r="66" spans="1:11" ht="15">
      <c r="A66" s="25">
        <v>44229</v>
      </c>
      <c r="B66" s="28" t="s">
        <v>1371</v>
      </c>
      <c r="C66" s="71" t="s">
        <v>1211</v>
      </c>
      <c r="D66" s="71" t="s">
        <v>1411</v>
      </c>
      <c r="E66" s="177" t="s">
        <v>1418</v>
      </c>
      <c r="F66" s="29"/>
      <c r="G66" s="188" t="s">
        <v>1436</v>
      </c>
      <c r="H66" s="30"/>
      <c r="I66" s="26">
        <v>63351467</v>
      </c>
      <c r="J66" s="268">
        <v>63351467</v>
      </c>
      <c r="K66" s="26">
        <f t="shared" si="0"/>
        <v>0</v>
      </c>
    </row>
    <row r="67" spans="1:11" ht="15">
      <c r="A67" s="25">
        <v>44229</v>
      </c>
      <c r="B67" s="28" t="s">
        <v>1373</v>
      </c>
      <c r="C67" s="71" t="s">
        <v>1181</v>
      </c>
      <c r="D67" s="71" t="s">
        <v>1453</v>
      </c>
      <c r="E67" s="177" t="s">
        <v>1419</v>
      </c>
      <c r="F67" s="29"/>
      <c r="G67" s="188" t="s">
        <v>1437</v>
      </c>
      <c r="H67" s="30"/>
      <c r="I67" s="26">
        <v>70997333</v>
      </c>
      <c r="J67" s="268">
        <v>70997333</v>
      </c>
      <c r="K67" s="26">
        <f t="shared" si="0"/>
        <v>0</v>
      </c>
    </row>
    <row r="68" spans="1:11" ht="15">
      <c r="A68" s="25">
        <v>44230</v>
      </c>
      <c r="B68" s="28" t="s">
        <v>884</v>
      </c>
      <c r="C68" s="71" t="s">
        <v>913</v>
      </c>
      <c r="D68" s="71" t="s">
        <v>1287</v>
      </c>
      <c r="E68" s="177" t="s">
        <v>1420</v>
      </c>
      <c r="F68" s="29"/>
      <c r="G68" s="188" t="s">
        <v>252</v>
      </c>
      <c r="H68" s="30"/>
      <c r="I68" s="26">
        <v>54613333</v>
      </c>
      <c r="J68" s="268">
        <v>54613333</v>
      </c>
      <c r="K68" s="26">
        <f t="shared" si="0"/>
        <v>0</v>
      </c>
    </row>
    <row r="69" spans="1:11" ht="15">
      <c r="A69" s="25">
        <v>44230</v>
      </c>
      <c r="B69" s="28" t="s">
        <v>1460</v>
      </c>
      <c r="C69" s="71" t="s">
        <v>993</v>
      </c>
      <c r="D69" s="71" t="s">
        <v>1244</v>
      </c>
      <c r="E69" s="177" t="s">
        <v>1421</v>
      </c>
      <c r="F69" s="29"/>
      <c r="G69" s="188" t="s">
        <v>251</v>
      </c>
      <c r="H69" s="30"/>
      <c r="I69" s="26">
        <v>73216000</v>
      </c>
      <c r="J69" s="268">
        <v>72550400</v>
      </c>
      <c r="K69" s="26">
        <f t="shared" si="0"/>
        <v>665600</v>
      </c>
    </row>
    <row r="70" spans="1:11" ht="15">
      <c r="A70" s="25">
        <v>44232</v>
      </c>
      <c r="B70" s="28" t="s">
        <v>1233</v>
      </c>
      <c r="C70" s="71" t="s">
        <v>1245</v>
      </c>
      <c r="D70" s="71" t="s">
        <v>1120</v>
      </c>
      <c r="E70" s="177" t="s">
        <v>1422</v>
      </c>
      <c r="F70" s="29"/>
      <c r="G70" s="188" t="s">
        <v>1438</v>
      </c>
      <c r="H70" s="30"/>
      <c r="I70" s="26">
        <f>47308800-1003520</f>
        <v>46305280</v>
      </c>
      <c r="J70" s="268">
        <v>46305280</v>
      </c>
      <c r="K70" s="26">
        <f t="shared" si="0"/>
        <v>0</v>
      </c>
    </row>
    <row r="71" spans="1:11" ht="15">
      <c r="A71" s="25">
        <v>44232</v>
      </c>
      <c r="B71" s="28" t="s">
        <v>1461</v>
      </c>
      <c r="C71" s="71" t="s">
        <v>1371</v>
      </c>
      <c r="D71" s="71" t="s">
        <v>1121</v>
      </c>
      <c r="E71" s="177" t="s">
        <v>847</v>
      </c>
      <c r="F71" s="29"/>
      <c r="G71" s="188" t="s">
        <v>1439</v>
      </c>
      <c r="H71" s="30"/>
      <c r="I71" s="26">
        <v>16800000</v>
      </c>
      <c r="J71" s="268">
        <v>16800000</v>
      </c>
      <c r="K71" s="26">
        <f t="shared" si="0"/>
        <v>0</v>
      </c>
    </row>
    <row r="72" spans="1:11" ht="15">
      <c r="A72" s="25">
        <v>44232</v>
      </c>
      <c r="B72" s="28" t="s">
        <v>1379</v>
      </c>
      <c r="C72" s="71" t="s">
        <v>933</v>
      </c>
      <c r="D72" s="71" t="s">
        <v>1242</v>
      </c>
      <c r="E72" s="177" t="s">
        <v>1423</v>
      </c>
      <c r="F72" s="29"/>
      <c r="G72" s="188" t="s">
        <v>1440</v>
      </c>
      <c r="H72" s="30"/>
      <c r="I72" s="26">
        <v>85333333</v>
      </c>
      <c r="J72" s="268">
        <v>85333333</v>
      </c>
      <c r="K72" s="26">
        <f t="shared" si="0"/>
        <v>0</v>
      </c>
    </row>
    <row r="73" spans="1:11" ht="15">
      <c r="A73" s="25">
        <v>44235</v>
      </c>
      <c r="B73" s="28" t="s">
        <v>1462</v>
      </c>
      <c r="C73" s="71" t="s">
        <v>1179</v>
      </c>
      <c r="D73" s="71" t="s">
        <v>1176</v>
      </c>
      <c r="E73" s="177" t="s">
        <v>849</v>
      </c>
      <c r="F73" s="29"/>
      <c r="G73" s="188" t="s">
        <v>1441</v>
      </c>
      <c r="H73" s="30"/>
      <c r="I73" s="26">
        <f>78848000-2150400</f>
        <v>76697600</v>
      </c>
      <c r="J73" s="268">
        <v>76697600</v>
      </c>
      <c r="K73" s="26">
        <f t="shared" si="0"/>
        <v>0</v>
      </c>
    </row>
    <row r="74" spans="1:11" ht="15">
      <c r="A74" s="25">
        <v>44235</v>
      </c>
      <c r="B74" s="28" t="s">
        <v>367</v>
      </c>
      <c r="C74" s="71" t="s">
        <v>1183</v>
      </c>
      <c r="D74" s="71" t="s">
        <v>1123</v>
      </c>
      <c r="E74" s="177" t="s">
        <v>1424</v>
      </c>
      <c r="F74" s="29"/>
      <c r="G74" s="188" t="s">
        <v>1442</v>
      </c>
      <c r="H74" s="30"/>
      <c r="I74" s="26">
        <v>70997333</v>
      </c>
      <c r="J74" s="268">
        <v>70997333</v>
      </c>
      <c r="K74" s="26">
        <f t="shared" si="0"/>
        <v>0</v>
      </c>
    </row>
    <row r="75" spans="1:11" ht="15">
      <c r="A75" s="25">
        <v>44235</v>
      </c>
      <c r="B75" s="28" t="s">
        <v>1122</v>
      </c>
      <c r="C75" s="71" t="s">
        <v>1095</v>
      </c>
      <c r="D75" s="71" t="s">
        <v>892</v>
      </c>
      <c r="E75" s="177" t="s">
        <v>1054</v>
      </c>
      <c r="F75" s="29"/>
      <c r="G75" s="188" t="s">
        <v>1072</v>
      </c>
      <c r="H75" s="30"/>
      <c r="I75" s="26">
        <v>23941200</v>
      </c>
      <c r="J75" s="268">
        <v>23941200</v>
      </c>
      <c r="K75" s="26">
        <f t="shared" si="0"/>
        <v>0</v>
      </c>
    </row>
    <row r="76" spans="1:11" ht="15">
      <c r="A76" s="25">
        <v>44237</v>
      </c>
      <c r="B76" s="28" t="s">
        <v>1173</v>
      </c>
      <c r="C76" s="71" t="s">
        <v>1454</v>
      </c>
      <c r="D76" s="71" t="s">
        <v>1387</v>
      </c>
      <c r="E76" s="177" t="s">
        <v>1425</v>
      </c>
      <c r="F76" s="29"/>
      <c r="G76" s="188" t="s">
        <v>1443</v>
      </c>
      <c r="H76" s="30"/>
      <c r="I76" s="26">
        <v>45875200</v>
      </c>
      <c r="J76" s="268">
        <v>45875200</v>
      </c>
      <c r="K76" s="26">
        <f t="shared" si="1" ref="K76:K124">+I76-J76</f>
        <v>0</v>
      </c>
    </row>
    <row r="77" spans="1:11" ht="15">
      <c r="A77" s="25">
        <v>44238</v>
      </c>
      <c r="B77" s="28" t="s">
        <v>906</v>
      </c>
      <c r="C77" s="71" t="s">
        <v>1108</v>
      </c>
      <c r="D77" s="71" t="s">
        <v>1208</v>
      </c>
      <c r="E77" s="177" t="s">
        <v>1426</v>
      </c>
      <c r="F77" s="29"/>
      <c r="G77" s="188" t="s">
        <v>1444</v>
      </c>
      <c r="H77" s="30"/>
      <c r="I77" s="26">
        <v>45000000</v>
      </c>
      <c r="J77" s="268">
        <v>45000000</v>
      </c>
      <c r="K77" s="26">
        <f t="shared" si="1"/>
        <v>0</v>
      </c>
    </row>
    <row r="78" spans="1:11" ht="15">
      <c r="A78" s="25">
        <v>44238</v>
      </c>
      <c r="B78" s="28" t="s">
        <v>908</v>
      </c>
      <c r="C78" s="71" t="s">
        <v>1236</v>
      </c>
      <c r="D78" s="71" t="s">
        <v>904</v>
      </c>
      <c r="E78" s="177" t="s">
        <v>1427</v>
      </c>
      <c r="F78" s="29"/>
      <c r="G78" s="188" t="s">
        <v>1445</v>
      </c>
      <c r="H78" s="30"/>
      <c r="I78" s="26">
        <f>106666667-333333</f>
        <v>106333334</v>
      </c>
      <c r="J78" s="268">
        <v>106333334</v>
      </c>
      <c r="K78" s="26">
        <f t="shared" si="1"/>
        <v>0</v>
      </c>
    </row>
    <row r="79" spans="1:11" ht="15">
      <c r="A79" s="25">
        <v>44239</v>
      </c>
      <c r="B79" s="28" t="s">
        <v>1453</v>
      </c>
      <c r="C79" s="71" t="s">
        <v>1212</v>
      </c>
      <c r="D79" s="71" t="s">
        <v>1093</v>
      </c>
      <c r="E79" s="177" t="s">
        <v>1428</v>
      </c>
      <c r="F79" s="29"/>
      <c r="G79" s="188" t="s">
        <v>1446</v>
      </c>
      <c r="H79" s="30"/>
      <c r="I79" s="26">
        <f>87381333-273066</f>
        <v>87108267</v>
      </c>
      <c r="J79" s="268">
        <v>87108267</v>
      </c>
      <c r="K79" s="26">
        <f t="shared" si="1"/>
        <v>0</v>
      </c>
    </row>
    <row r="80" spans="1:11" ht="15">
      <c r="A80" s="25">
        <v>44239</v>
      </c>
      <c r="B80" s="28" t="s">
        <v>1463</v>
      </c>
      <c r="C80" s="71" t="s">
        <v>1128</v>
      </c>
      <c r="D80" s="71" t="s">
        <v>1131</v>
      </c>
      <c r="E80" s="177" t="s">
        <v>848</v>
      </c>
      <c r="F80" s="29"/>
      <c r="G80" s="188" t="s">
        <v>1447</v>
      </c>
      <c r="H80" s="30"/>
      <c r="I80" s="26">
        <f>43690667-136534</f>
        <v>43554133</v>
      </c>
      <c r="J80" s="268">
        <v>43554133</v>
      </c>
      <c r="K80" s="26">
        <f t="shared" si="1"/>
        <v>0</v>
      </c>
    </row>
    <row r="81" spans="1:11" ht="15">
      <c r="A81" s="25">
        <v>44239</v>
      </c>
      <c r="B81" s="28" t="s">
        <v>1171</v>
      </c>
      <c r="C81" s="71" t="s">
        <v>945</v>
      </c>
      <c r="D81" s="71" t="s">
        <v>927</v>
      </c>
      <c r="E81" s="177" t="s">
        <v>1429</v>
      </c>
      <c r="F81" s="29"/>
      <c r="G81" s="188" t="s">
        <v>1448</v>
      </c>
      <c r="H81" s="30"/>
      <c r="I81" s="26">
        <v>26166000</v>
      </c>
      <c r="J81" s="268">
        <v>26166000</v>
      </c>
      <c r="K81" s="26">
        <f t="shared" si="1"/>
        <v>0</v>
      </c>
    </row>
    <row r="82" spans="1:11" ht="15">
      <c r="A82" s="25">
        <v>44239</v>
      </c>
      <c r="B82" s="28" t="s">
        <v>1181</v>
      </c>
      <c r="C82" s="71" t="s">
        <v>1455</v>
      </c>
      <c r="D82" s="71" t="s">
        <v>1213</v>
      </c>
      <c r="E82" s="177" t="s">
        <v>1430</v>
      </c>
      <c r="F82" s="29"/>
      <c r="G82" s="188" t="s">
        <v>1449</v>
      </c>
      <c r="H82" s="30"/>
      <c r="I82" s="26">
        <v>67000000</v>
      </c>
      <c r="J82" s="268">
        <v>67000000</v>
      </c>
      <c r="K82" s="26">
        <f t="shared" si="1"/>
        <v>0</v>
      </c>
    </row>
    <row r="83" spans="1:11" ht="15">
      <c r="A83" s="25">
        <v>44242</v>
      </c>
      <c r="B83" s="28" t="s">
        <v>1385</v>
      </c>
      <c r="C83" s="71" t="s">
        <v>1456</v>
      </c>
      <c r="D83" s="71" t="s">
        <v>1457</v>
      </c>
      <c r="E83" s="177" t="s">
        <v>1431</v>
      </c>
      <c r="F83" s="29"/>
      <c r="G83" s="188" t="s">
        <v>1450</v>
      </c>
      <c r="H83" s="30"/>
      <c r="I83" s="26">
        <v>12000000</v>
      </c>
      <c r="J83" s="268">
        <v>12000000</v>
      </c>
      <c r="K83" s="26">
        <f t="shared" si="1"/>
        <v>0</v>
      </c>
    </row>
    <row r="84" spans="1:11" ht="15">
      <c r="A84" s="25">
        <v>44246</v>
      </c>
      <c r="B84" s="28" t="s">
        <v>927</v>
      </c>
      <c r="C84" s="71" t="s">
        <v>1458</v>
      </c>
      <c r="D84" s="71" t="s">
        <v>1393</v>
      </c>
      <c r="E84" s="177" t="s">
        <v>1432</v>
      </c>
      <c r="F84" s="29"/>
      <c r="G84" s="188" t="s">
        <v>1451</v>
      </c>
      <c r="H84" s="30"/>
      <c r="I84" s="26">
        <v>36000000</v>
      </c>
      <c r="J84" s="268">
        <v>36000000</v>
      </c>
      <c r="K84" s="26">
        <f t="shared" si="1"/>
        <v>0</v>
      </c>
    </row>
    <row r="85" spans="1:11" ht="15">
      <c r="A85" s="25">
        <v>44259</v>
      </c>
      <c r="B85" s="28" t="s">
        <v>939</v>
      </c>
      <c r="C85" s="71" t="s">
        <v>1712</v>
      </c>
      <c r="D85" s="71" t="s">
        <v>1652</v>
      </c>
      <c r="E85" s="177" t="s">
        <v>1707</v>
      </c>
      <c r="F85" s="29"/>
      <c r="G85" s="188" t="s">
        <v>339</v>
      </c>
      <c r="H85" s="30"/>
      <c r="I85" s="26">
        <v>49302000</v>
      </c>
      <c r="J85" s="268">
        <v>49302000</v>
      </c>
      <c r="K85" s="26">
        <f t="shared" si="1"/>
        <v>0</v>
      </c>
    </row>
    <row r="86" spans="1:11" ht="15">
      <c r="A86" s="25">
        <v>44265</v>
      </c>
      <c r="B86" s="28" t="s">
        <v>934</v>
      </c>
      <c r="C86" s="71" t="s">
        <v>1673</v>
      </c>
      <c r="D86" s="71" t="s">
        <v>1712</v>
      </c>
      <c r="E86" s="177" t="s">
        <v>1708</v>
      </c>
      <c r="F86" s="29"/>
      <c r="G86" s="188" t="s">
        <v>1703</v>
      </c>
      <c r="H86" s="30"/>
      <c r="I86" s="26">
        <v>49167000</v>
      </c>
      <c r="J86" s="268">
        <v>42666667</v>
      </c>
      <c r="K86" s="26">
        <f t="shared" si="1"/>
        <v>6500333</v>
      </c>
    </row>
    <row r="87" spans="1:11" ht="15">
      <c r="A87" s="25">
        <v>44271</v>
      </c>
      <c r="B87" s="28" t="s">
        <v>1193</v>
      </c>
      <c r="C87" s="71" t="s">
        <v>1600</v>
      </c>
      <c r="D87" s="71" t="s">
        <v>1699</v>
      </c>
      <c r="E87" s="177" t="s">
        <v>1709</v>
      </c>
      <c r="F87" s="29"/>
      <c r="G87" s="188" t="s">
        <v>1704</v>
      </c>
      <c r="H87" s="30"/>
      <c r="I87" s="26">
        <v>58500000</v>
      </c>
      <c r="J87" s="268">
        <v>58500000</v>
      </c>
      <c r="K87" s="26">
        <f t="shared" si="1"/>
        <v>0</v>
      </c>
    </row>
    <row r="88" spans="1:11" ht="15">
      <c r="A88" s="25">
        <v>44280</v>
      </c>
      <c r="B88" s="28" t="s">
        <v>968</v>
      </c>
      <c r="C88" s="71" t="s">
        <v>1683</v>
      </c>
      <c r="D88" s="71" t="s">
        <v>1713</v>
      </c>
      <c r="E88" s="177" t="s">
        <v>1710</v>
      </c>
      <c r="F88" s="29"/>
      <c r="G88" s="188" t="s">
        <v>1705</v>
      </c>
      <c r="H88" s="30"/>
      <c r="I88" s="26">
        <f>26190000-19060500</f>
        <v>7129500</v>
      </c>
      <c r="J88" s="268">
        <v>7129500</v>
      </c>
      <c r="K88" s="26">
        <f t="shared" si="1"/>
        <v>0</v>
      </c>
    </row>
    <row r="89" spans="1:11" ht="15">
      <c r="A89" s="25">
        <v>44285</v>
      </c>
      <c r="B89" s="28" t="s">
        <v>1113</v>
      </c>
      <c r="C89" s="71" t="s">
        <v>1714</v>
      </c>
      <c r="D89" s="71" t="s">
        <v>1675</v>
      </c>
      <c r="E89" s="177" t="s">
        <v>1711</v>
      </c>
      <c r="F89" s="29"/>
      <c r="G89" s="188" t="s">
        <v>1706</v>
      </c>
      <c r="H89" s="30"/>
      <c r="I89" s="26">
        <v>57600000</v>
      </c>
      <c r="J89" s="268">
        <v>57600000</v>
      </c>
      <c r="K89" s="26">
        <f t="shared" si="1"/>
        <v>0</v>
      </c>
    </row>
    <row r="90" spans="1:11" ht="15">
      <c r="A90" s="25">
        <v>44294</v>
      </c>
      <c r="B90" s="28" t="s">
        <v>1105</v>
      </c>
      <c r="C90" s="71" t="s">
        <v>1897</v>
      </c>
      <c r="D90" s="71" t="s">
        <v>1714</v>
      </c>
      <c r="E90" s="177" t="s">
        <v>1919</v>
      </c>
      <c r="F90" s="29"/>
      <c r="G90" s="188" t="s">
        <v>1658</v>
      </c>
      <c r="H90" s="30"/>
      <c r="I90" s="26">
        <v>45000000</v>
      </c>
      <c r="J90" s="268">
        <v>45000000</v>
      </c>
      <c r="K90" s="26">
        <f t="shared" si="1"/>
        <v>0</v>
      </c>
    </row>
    <row r="91" spans="1:11" ht="15">
      <c r="A91" s="25">
        <v>44295</v>
      </c>
      <c r="B91" s="28" t="s">
        <v>1122</v>
      </c>
      <c r="C91" s="71" t="s">
        <v>1726</v>
      </c>
      <c r="D91" s="71" t="s">
        <v>1606</v>
      </c>
      <c r="E91" s="177" t="s">
        <v>1814</v>
      </c>
      <c r="F91" s="29"/>
      <c r="G91" s="188" t="s">
        <v>1072</v>
      </c>
      <c r="H91" s="30"/>
      <c r="I91" s="26">
        <v>3336716</v>
      </c>
      <c r="J91" s="268">
        <v>3336716</v>
      </c>
      <c r="K91" s="26">
        <f t="shared" si="1"/>
        <v>0</v>
      </c>
    </row>
    <row r="92" spans="1:11" ht="15">
      <c r="A92" s="25">
        <v>44309</v>
      </c>
      <c r="B92" s="28" t="s">
        <v>1581</v>
      </c>
      <c r="C92" s="71" t="s">
        <v>1730</v>
      </c>
      <c r="D92" s="71" t="s">
        <v>1731</v>
      </c>
      <c r="E92" s="177" t="s">
        <v>1773</v>
      </c>
      <c r="F92" s="29"/>
      <c r="G92" s="188" t="s">
        <v>1758</v>
      </c>
      <c r="H92" s="30"/>
      <c r="I92" s="26">
        <v>240000000</v>
      </c>
      <c r="J92" s="268">
        <v>69773226</v>
      </c>
      <c r="K92" s="26">
        <f t="shared" si="1"/>
        <v>170226774</v>
      </c>
    </row>
    <row r="93" spans="1:11" ht="15">
      <c r="A93" s="25">
        <v>44327</v>
      </c>
      <c r="B93" s="28" t="s">
        <v>1554</v>
      </c>
      <c r="C93" s="71" t="s">
        <v>1397</v>
      </c>
      <c r="D93" s="71" t="s">
        <v>1931</v>
      </c>
      <c r="E93" s="177" t="s">
        <v>1966</v>
      </c>
      <c r="F93" s="29"/>
      <c r="G93" s="188" t="s">
        <v>1979</v>
      </c>
      <c r="H93" s="30"/>
      <c r="I93" s="26">
        <v>400000000</v>
      </c>
      <c r="J93" s="268">
        <v>352579430</v>
      </c>
      <c r="K93" s="26">
        <f t="shared" si="1"/>
        <v>47420570</v>
      </c>
    </row>
    <row r="94" spans="1:11" ht="15">
      <c r="A94" s="25">
        <v>44330</v>
      </c>
      <c r="B94" s="28" t="s">
        <v>1606</v>
      </c>
      <c r="C94" s="71" t="s">
        <v>2203</v>
      </c>
      <c r="D94" s="71" t="s">
        <v>2111</v>
      </c>
      <c r="E94" s="177" t="s">
        <v>2205</v>
      </c>
      <c r="F94" s="29"/>
      <c r="G94" s="188" t="s">
        <v>2207</v>
      </c>
      <c r="H94" s="30"/>
      <c r="I94" s="26">
        <v>35000000</v>
      </c>
      <c r="J94" s="268">
        <v>35000000</v>
      </c>
      <c r="K94" s="26">
        <f t="shared" si="1"/>
        <v>0</v>
      </c>
    </row>
    <row r="95" spans="1:11" ht="15">
      <c r="A95" s="25">
        <v>44342</v>
      </c>
      <c r="B95" s="28" t="s">
        <v>1719</v>
      </c>
      <c r="C95" s="71" t="s">
        <v>2178</v>
      </c>
      <c r="D95" s="71" t="s">
        <v>2204</v>
      </c>
      <c r="E95" s="177" t="s">
        <v>2206</v>
      </c>
      <c r="F95" s="29"/>
      <c r="G95" s="188" t="s">
        <v>2208</v>
      </c>
      <c r="H95" s="30"/>
      <c r="I95" s="26">
        <v>37000000</v>
      </c>
      <c r="J95" s="268">
        <v>35833333</v>
      </c>
      <c r="K95" s="26">
        <f t="shared" si="1"/>
        <v>1166667</v>
      </c>
    </row>
    <row r="96" spans="1:11" ht="15">
      <c r="A96" s="25">
        <v>44355</v>
      </c>
      <c r="B96" s="28" t="s">
        <v>1795</v>
      </c>
      <c r="C96" s="71" t="s">
        <v>2368</v>
      </c>
      <c r="D96" s="71" t="s">
        <v>2372</v>
      </c>
      <c r="E96" s="177" t="s">
        <v>2392</v>
      </c>
      <c r="F96" s="29"/>
      <c r="G96" s="188" t="s">
        <v>1439</v>
      </c>
      <c r="H96" s="30"/>
      <c r="I96" s="26">
        <v>29626667</v>
      </c>
      <c r="J96" s="268">
        <v>29626667</v>
      </c>
      <c r="K96" s="26">
        <f t="shared" si="1"/>
        <v>0</v>
      </c>
    </row>
    <row r="97" spans="1:11" ht="15">
      <c r="A97" s="25">
        <v>44362</v>
      </c>
      <c r="B97" s="28" t="s">
        <v>1385</v>
      </c>
      <c r="C97" s="71" t="s">
        <v>2390</v>
      </c>
      <c r="D97" s="71" t="s">
        <v>2363</v>
      </c>
      <c r="E97" s="177" t="s">
        <v>2393</v>
      </c>
      <c r="F97" s="29"/>
      <c r="G97" s="188" t="s">
        <v>1450</v>
      </c>
      <c r="H97" s="30"/>
      <c r="I97" s="26">
        <v>3000000</v>
      </c>
      <c r="J97" s="268">
        <v>3000000</v>
      </c>
      <c r="K97" s="26">
        <f t="shared" si="1"/>
        <v>0</v>
      </c>
    </row>
    <row r="98" spans="1:11" ht="15">
      <c r="A98" s="25">
        <v>44363</v>
      </c>
      <c r="B98" s="28" t="s">
        <v>1732</v>
      </c>
      <c r="C98" s="71" t="s">
        <v>2391</v>
      </c>
      <c r="D98" s="71" t="s">
        <v>2226</v>
      </c>
      <c r="E98" s="177" t="s">
        <v>2394</v>
      </c>
      <c r="F98" s="29"/>
      <c r="G98" s="188" t="s">
        <v>2396</v>
      </c>
      <c r="H98" s="30"/>
      <c r="I98" s="26">
        <v>36666667</v>
      </c>
      <c r="J98" s="268">
        <v>35566667</v>
      </c>
      <c r="K98" s="26">
        <f t="shared" si="1"/>
        <v>1100000</v>
      </c>
    </row>
    <row r="99" spans="1:11" ht="15">
      <c r="A99" s="25">
        <v>44364</v>
      </c>
      <c r="B99" s="28" t="s">
        <v>1902</v>
      </c>
      <c r="C99" s="71" t="s">
        <v>2283</v>
      </c>
      <c r="D99" s="71" t="s">
        <v>2233</v>
      </c>
      <c r="E99" s="177" t="s">
        <v>2395</v>
      </c>
      <c r="F99" s="29"/>
      <c r="G99" s="188" t="s">
        <v>2397</v>
      </c>
      <c r="H99" s="30"/>
      <c r="I99" s="26">
        <v>29400000</v>
      </c>
      <c r="J99" s="268">
        <v>28420000</v>
      </c>
      <c r="K99" s="26">
        <f t="shared" si="1"/>
        <v>980000</v>
      </c>
    </row>
    <row r="100" spans="1:11" ht="15">
      <c r="A100" s="25">
        <v>44398</v>
      </c>
      <c r="B100" s="28" t="s">
        <v>2174</v>
      </c>
      <c r="C100" s="71" t="s">
        <v>2848</v>
      </c>
      <c r="D100" s="71" t="s">
        <v>2849</v>
      </c>
      <c r="E100" s="177" t="s">
        <v>2850</v>
      </c>
      <c r="F100" s="29"/>
      <c r="G100" s="188" t="s">
        <v>1450</v>
      </c>
      <c r="H100" s="30"/>
      <c r="I100" s="26">
        <v>16500000</v>
      </c>
      <c r="J100" s="268">
        <v>16000000</v>
      </c>
      <c r="K100" s="26">
        <f t="shared" si="1"/>
        <v>500000</v>
      </c>
    </row>
    <row r="101" spans="1:11" ht="15">
      <c r="A101" s="25">
        <v>44398</v>
      </c>
      <c r="B101" s="28" t="s">
        <v>2126</v>
      </c>
      <c r="C101" s="71" t="s">
        <v>2733</v>
      </c>
      <c r="D101" s="71" t="s">
        <v>2649</v>
      </c>
      <c r="E101" s="177" t="s">
        <v>2851</v>
      </c>
      <c r="F101" s="29"/>
      <c r="G101" s="188" t="s">
        <v>2853</v>
      </c>
      <c r="H101" s="30"/>
      <c r="I101" s="26">
        <v>27500000</v>
      </c>
      <c r="J101" s="268">
        <v>27500000</v>
      </c>
      <c r="K101" s="26">
        <f t="shared" si="1"/>
        <v>0</v>
      </c>
    </row>
    <row r="102" spans="1:11" ht="15">
      <c r="A102" s="25">
        <v>44400</v>
      </c>
      <c r="B102" s="28" t="s">
        <v>1944</v>
      </c>
      <c r="C102" s="71" t="s">
        <v>2622</v>
      </c>
      <c r="D102" s="71" t="s">
        <v>2643</v>
      </c>
      <c r="E102" s="177" t="s">
        <v>2852</v>
      </c>
      <c r="F102" s="29"/>
      <c r="G102" s="188" t="s">
        <v>68</v>
      </c>
      <c r="H102" s="30"/>
      <c r="I102" s="26">
        <v>29333333</v>
      </c>
      <c r="J102" s="268">
        <v>28783333</v>
      </c>
      <c r="K102" s="26">
        <f t="shared" si="1"/>
        <v>550000</v>
      </c>
    </row>
    <row r="103" spans="1:11" ht="15">
      <c r="A103" s="25">
        <v>44418</v>
      </c>
      <c r="B103" s="28" t="s">
        <v>2230</v>
      </c>
      <c r="C103" s="71" t="s">
        <v>2439</v>
      </c>
      <c r="D103" s="71" t="s">
        <v>3285</v>
      </c>
      <c r="E103" s="177" t="s">
        <v>3280</v>
      </c>
      <c r="F103" s="29"/>
      <c r="G103" s="188" t="s">
        <v>3278</v>
      </c>
      <c r="H103" s="30"/>
      <c r="I103" s="26">
        <f>32500000-2166667</f>
        <v>30333333</v>
      </c>
      <c r="J103" s="26">
        <v>30333333</v>
      </c>
      <c r="K103" s="26">
        <f t="shared" si="1"/>
        <v>0</v>
      </c>
    </row>
    <row r="104" spans="1:11" ht="15">
      <c r="A104" s="25">
        <v>44421</v>
      </c>
      <c r="B104" s="28" t="s">
        <v>2404</v>
      </c>
      <c r="C104" s="71" t="s">
        <v>3286</v>
      </c>
      <c r="D104" s="71" t="s">
        <v>3287</v>
      </c>
      <c r="E104" s="177" t="s">
        <v>3281</v>
      </c>
      <c r="F104" s="29"/>
      <c r="G104" s="188" t="s">
        <v>1444</v>
      </c>
      <c r="H104" s="30"/>
      <c r="I104" s="26">
        <f>35500000-2250000</f>
        <v>33250000</v>
      </c>
      <c r="J104" s="26">
        <v>33250000</v>
      </c>
      <c r="K104" s="26">
        <f t="shared" si="1"/>
        <v>0</v>
      </c>
    </row>
    <row r="105" spans="1:11" ht="15">
      <c r="A105" s="25">
        <v>44421</v>
      </c>
      <c r="B105" s="28" t="s">
        <v>2112</v>
      </c>
      <c r="C105" s="71" t="s">
        <v>2889</v>
      </c>
      <c r="D105" s="71" t="s">
        <v>2890</v>
      </c>
      <c r="E105" s="177" t="s">
        <v>2988</v>
      </c>
      <c r="F105" s="29"/>
      <c r="G105" s="188" t="s">
        <v>2946</v>
      </c>
      <c r="H105" s="30"/>
      <c r="I105" s="26">
        <f>25000000-1650</f>
        <v>24998350</v>
      </c>
      <c r="J105" s="268">
        <v>24998350</v>
      </c>
      <c r="K105" s="26">
        <f t="shared" si="1"/>
        <v>0</v>
      </c>
    </row>
    <row r="106" spans="1:11" ht="15">
      <c r="A106" s="25">
        <v>44426</v>
      </c>
      <c r="B106" s="28" t="s">
        <v>2493</v>
      </c>
      <c r="C106" s="71" t="s">
        <v>3288</v>
      </c>
      <c r="D106" s="71" t="s">
        <v>3289</v>
      </c>
      <c r="E106" s="177" t="s">
        <v>3282</v>
      </c>
      <c r="F106" s="29"/>
      <c r="G106" s="188" t="s">
        <v>1448</v>
      </c>
      <c r="H106" s="30"/>
      <c r="I106" s="26">
        <f>19624500-290733</f>
        <v>19333767</v>
      </c>
      <c r="J106" s="268">
        <v>19333767</v>
      </c>
      <c r="K106" s="26">
        <f t="shared" si="1"/>
        <v>0</v>
      </c>
    </row>
    <row r="107" spans="1:11" ht="15">
      <c r="A107" s="25">
        <v>44427</v>
      </c>
      <c r="B107" s="28" t="s">
        <v>2597</v>
      </c>
      <c r="C107" s="71" t="s">
        <v>3138</v>
      </c>
      <c r="D107" s="71" t="s">
        <v>3290</v>
      </c>
      <c r="E107" s="177" t="s">
        <v>3283</v>
      </c>
      <c r="F107" s="29"/>
      <c r="G107" s="188" t="s">
        <v>3279</v>
      </c>
      <c r="H107" s="30"/>
      <c r="I107" s="26">
        <f>23000000-1000000</f>
        <v>22000000</v>
      </c>
      <c r="J107" s="268">
        <v>22000000</v>
      </c>
      <c r="K107" s="26">
        <f t="shared" si="1"/>
        <v>0</v>
      </c>
    </row>
    <row r="108" spans="1:11" ht="15">
      <c r="A108" s="25">
        <v>44438</v>
      </c>
      <c r="B108" s="28" t="s">
        <v>2411</v>
      </c>
      <c r="C108" s="71" t="s">
        <v>2869</v>
      </c>
      <c r="D108" s="71" t="s">
        <v>3291</v>
      </c>
      <c r="E108" s="177" t="s">
        <v>3284</v>
      </c>
      <c r="F108" s="29"/>
      <c r="G108" s="188" t="s">
        <v>163</v>
      </c>
      <c r="H108" s="30"/>
      <c r="I108" s="26">
        <v>24746667</v>
      </c>
      <c r="J108" s="192">
        <v>23954773</v>
      </c>
      <c r="K108" s="26">
        <f t="shared" si="1"/>
        <v>791894</v>
      </c>
    </row>
    <row r="109" spans="1:11" ht="15">
      <c r="A109" s="25">
        <v>44440</v>
      </c>
      <c r="B109" s="28">
        <v>1195</v>
      </c>
      <c r="C109" s="71">
        <v>1455</v>
      </c>
      <c r="D109" s="71">
        <v>1628</v>
      </c>
      <c r="E109" s="8" t="s">
        <v>3427</v>
      </c>
      <c r="F109" s="29"/>
      <c r="G109" s="238" t="s">
        <v>3422</v>
      </c>
      <c r="H109" s="30"/>
      <c r="I109" s="26">
        <v>24750000</v>
      </c>
      <c r="J109" s="268">
        <v>22000000</v>
      </c>
      <c r="K109" s="26">
        <f t="shared" si="1"/>
        <v>2750000</v>
      </c>
    </row>
    <row r="110" spans="1:11" ht="15">
      <c r="A110" s="25">
        <v>44447</v>
      </c>
      <c r="B110" s="28">
        <v>1221</v>
      </c>
      <c r="C110" s="71">
        <v>1510</v>
      </c>
      <c r="D110" s="71">
        <v>1660</v>
      </c>
      <c r="E110" s="8" t="s">
        <v>3428</v>
      </c>
      <c r="F110" s="29"/>
      <c r="G110" s="238" t="s">
        <v>3423</v>
      </c>
      <c r="H110" s="30"/>
      <c r="I110" s="26">
        <v>18000000</v>
      </c>
      <c r="J110" s="268">
        <v>16650000</v>
      </c>
      <c r="K110" s="26">
        <f t="shared" si="1"/>
        <v>1350000</v>
      </c>
    </row>
    <row r="111" spans="1:11" ht="15">
      <c r="A111" s="25">
        <v>44448</v>
      </c>
      <c r="B111" s="28">
        <v>1230</v>
      </c>
      <c r="C111" s="71">
        <v>1496</v>
      </c>
      <c r="D111" s="71">
        <v>1665</v>
      </c>
      <c r="E111" s="8" t="s">
        <v>3429</v>
      </c>
      <c r="F111" s="29"/>
      <c r="G111" s="238" t="s">
        <v>3424</v>
      </c>
      <c r="H111" s="30"/>
      <c r="I111" s="26">
        <f>21083333-550000</f>
        <v>20533333</v>
      </c>
      <c r="J111" s="268">
        <v>20533333</v>
      </c>
      <c r="K111" s="26">
        <f t="shared" si="1"/>
        <v>0</v>
      </c>
    </row>
    <row r="112" spans="1:11" ht="15">
      <c r="A112" s="25">
        <v>44449</v>
      </c>
      <c r="B112" s="28">
        <v>1231</v>
      </c>
      <c r="C112" s="71">
        <v>1511</v>
      </c>
      <c r="D112" s="71">
        <v>1680</v>
      </c>
      <c r="E112" s="8" t="s">
        <v>3430</v>
      </c>
      <c r="F112" s="29"/>
      <c r="G112" s="238" t="s">
        <v>3425</v>
      </c>
      <c r="H112" s="30"/>
      <c r="I112" s="26">
        <v>16483333</v>
      </c>
      <c r="J112" s="268">
        <v>15910000</v>
      </c>
      <c r="K112" s="26">
        <f t="shared" si="1"/>
        <v>573333</v>
      </c>
    </row>
    <row r="113" spans="1:11" ht="15">
      <c r="A113" s="25">
        <v>44456</v>
      </c>
      <c r="B113" s="28">
        <v>1237</v>
      </c>
      <c r="C113" s="71">
        <v>1548</v>
      </c>
      <c r="D113" s="71">
        <v>1701</v>
      </c>
      <c r="E113" s="8" t="s">
        <v>3431</v>
      </c>
      <c r="F113" s="29"/>
      <c r="G113" s="238" t="s">
        <v>329</v>
      </c>
      <c r="H113" s="30"/>
      <c r="I113" s="26">
        <v>9100000</v>
      </c>
      <c r="J113" s="268">
        <v>9013333</v>
      </c>
      <c r="K113" s="26">
        <f t="shared" si="1"/>
        <v>86667</v>
      </c>
    </row>
    <row r="114" spans="1:11" ht="15">
      <c r="A114" s="25">
        <v>44468</v>
      </c>
      <c r="B114" s="28">
        <v>1272</v>
      </c>
      <c r="C114" s="71">
        <v>1612</v>
      </c>
      <c r="D114" s="71">
        <v>1780</v>
      </c>
      <c r="E114" s="8" t="s">
        <v>3432</v>
      </c>
      <c r="F114" s="29"/>
      <c r="G114" s="238" t="s">
        <v>3426</v>
      </c>
      <c r="H114" s="30"/>
      <c r="I114" s="26">
        <v>15000000</v>
      </c>
      <c r="J114" s="268">
        <v>15000000</v>
      </c>
      <c r="K114" s="26">
        <f t="shared" si="1"/>
        <v>0</v>
      </c>
    </row>
    <row r="115" spans="1:11" ht="15">
      <c r="A115" s="25">
        <v>44473</v>
      </c>
      <c r="B115" s="28" t="s">
        <v>2632</v>
      </c>
      <c r="C115" s="71" t="s">
        <v>3756</v>
      </c>
      <c r="D115" s="71" t="s">
        <v>3757</v>
      </c>
      <c r="E115" s="8" t="s">
        <v>3762</v>
      </c>
      <c r="F115" s="29"/>
      <c r="G115" s="238" t="s">
        <v>3764</v>
      </c>
      <c r="H115" s="30"/>
      <c r="I115" s="26">
        <v>12900000</v>
      </c>
      <c r="J115" s="268">
        <v>12326667</v>
      </c>
      <c r="K115" s="26">
        <f t="shared" si="1"/>
        <v>573333</v>
      </c>
    </row>
    <row r="116" spans="1:11" ht="15">
      <c r="A116" s="25">
        <v>44483</v>
      </c>
      <c r="B116" s="28" t="s">
        <v>1181</v>
      </c>
      <c r="C116" s="71" t="s">
        <v>3758</v>
      </c>
      <c r="D116" s="71" t="s">
        <v>3759</v>
      </c>
      <c r="E116" s="8" t="s">
        <v>3763</v>
      </c>
      <c r="F116" s="29"/>
      <c r="G116" s="238" t="s">
        <v>1449</v>
      </c>
      <c r="H116" s="30"/>
      <c r="I116" s="26">
        <v>3573333</v>
      </c>
      <c r="J116" s="192">
        <v>3573333</v>
      </c>
      <c r="K116" s="26">
        <f t="shared" si="1"/>
        <v>0</v>
      </c>
    </row>
    <row r="117" spans="1:11" ht="15">
      <c r="A117" s="25">
        <v>44498</v>
      </c>
      <c r="B117" s="28" t="s">
        <v>3766</v>
      </c>
      <c r="C117" s="71" t="s">
        <v>3760</v>
      </c>
      <c r="D117" s="71" t="s">
        <v>3761</v>
      </c>
      <c r="E117" s="8" t="s">
        <v>2851</v>
      </c>
      <c r="F117" s="29"/>
      <c r="G117" s="238" t="s">
        <v>3765</v>
      </c>
      <c r="H117" s="30"/>
      <c r="I117" s="26">
        <v>11733333</v>
      </c>
      <c r="J117" s="192">
        <v>10816667</v>
      </c>
      <c r="K117" s="26">
        <f t="shared" si="1"/>
        <v>916666</v>
      </c>
    </row>
    <row r="118" spans="1:11" ht="15">
      <c r="A118" s="25">
        <v>44511</v>
      </c>
      <c r="B118" s="28">
        <v>1372</v>
      </c>
      <c r="C118" s="71">
        <v>1617</v>
      </c>
      <c r="D118" s="71">
        <v>1975</v>
      </c>
      <c r="E118" s="8" t="s">
        <v>3781</v>
      </c>
      <c r="F118" s="29"/>
      <c r="G118" s="238" t="s">
        <v>3800</v>
      </c>
      <c r="H118" s="30"/>
      <c r="I118" s="26">
        <v>10000000</v>
      </c>
      <c r="J118" s="192">
        <v>2261000</v>
      </c>
      <c r="K118" s="26">
        <f t="shared" si="1"/>
        <v>7739000</v>
      </c>
    </row>
    <row r="119" spans="1:11" ht="15">
      <c r="A119" s="25">
        <v>44518</v>
      </c>
      <c r="B119" s="28">
        <v>1387</v>
      </c>
      <c r="C119" s="71">
        <v>1689</v>
      </c>
      <c r="D119" s="71">
        <v>1997</v>
      </c>
      <c r="E119" s="8" t="s">
        <v>3887</v>
      </c>
      <c r="F119" s="29"/>
      <c r="G119" s="238" t="s">
        <v>3888</v>
      </c>
      <c r="H119" s="30"/>
      <c r="I119" s="26">
        <v>7500000</v>
      </c>
      <c r="J119" s="192">
        <v>7166667</v>
      </c>
      <c r="K119" s="26">
        <f t="shared" si="1"/>
        <v>333333</v>
      </c>
    </row>
    <row r="120" spans="1:11" ht="15">
      <c r="A120" s="25">
        <v>44539</v>
      </c>
      <c r="B120" s="28">
        <v>424</v>
      </c>
      <c r="C120" s="71">
        <v>1834</v>
      </c>
      <c r="D120" s="71">
        <v>2072</v>
      </c>
      <c r="E120" s="8" t="s">
        <v>4014</v>
      </c>
      <c r="F120" s="29"/>
      <c r="G120" s="238" t="s">
        <v>1437</v>
      </c>
      <c r="H120" s="30"/>
      <c r="I120" s="26">
        <v>1774933</v>
      </c>
      <c r="J120" s="26">
        <v>1774933</v>
      </c>
      <c r="K120" s="26">
        <f t="shared" si="1"/>
        <v>0</v>
      </c>
    </row>
    <row r="121" spans="1:11" ht="15">
      <c r="A121" s="25">
        <v>44539</v>
      </c>
      <c r="B121" s="28">
        <v>414</v>
      </c>
      <c r="C121" s="71">
        <v>1837</v>
      </c>
      <c r="D121" s="71">
        <v>2167</v>
      </c>
      <c r="E121" s="8" t="s">
        <v>4015</v>
      </c>
      <c r="F121" s="29"/>
      <c r="G121" s="238" t="s">
        <v>1434</v>
      </c>
      <c r="H121" s="30"/>
      <c r="I121" s="26">
        <v>1873920</v>
      </c>
      <c r="J121" s="26">
        <v>1873920</v>
      </c>
      <c r="K121" s="26">
        <f t="shared" si="1"/>
        <v>0</v>
      </c>
    </row>
    <row r="122" spans="1:11" ht="15">
      <c r="A122" s="25">
        <v>44543</v>
      </c>
      <c r="B122" s="28">
        <v>959</v>
      </c>
      <c r="C122" s="71">
        <v>1838</v>
      </c>
      <c r="D122" s="71">
        <v>2175</v>
      </c>
      <c r="E122" s="8" t="s">
        <v>4016</v>
      </c>
      <c r="F122" s="29"/>
      <c r="G122" s="238" t="s">
        <v>2853</v>
      </c>
      <c r="H122" s="30"/>
      <c r="I122" s="26">
        <v>1833333</v>
      </c>
      <c r="J122" s="26">
        <v>1833333</v>
      </c>
      <c r="K122" s="26">
        <f t="shared" si="1"/>
        <v>0</v>
      </c>
    </row>
    <row r="123" spans="1:11" ht="15">
      <c r="A123" s="25">
        <v>44553</v>
      </c>
      <c r="B123" s="28">
        <v>1343</v>
      </c>
      <c r="C123" s="71">
        <v>1908</v>
      </c>
      <c r="D123" s="71">
        <v>2262</v>
      </c>
      <c r="E123" s="8" t="s">
        <v>4017</v>
      </c>
      <c r="F123" s="29"/>
      <c r="G123" s="238" t="s">
        <v>4013</v>
      </c>
      <c r="H123" s="30"/>
      <c r="I123" s="26">
        <v>70000</v>
      </c>
      <c r="J123" s="26">
        <v>70000</v>
      </c>
      <c r="K123" s="26">
        <f t="shared" si="1"/>
        <v>0</v>
      </c>
    </row>
    <row r="124" spans="1:11" ht="15">
      <c r="A124" s="25">
        <v>44558</v>
      </c>
      <c r="B124" s="28">
        <v>1418</v>
      </c>
      <c r="C124" s="71">
        <v>1768</v>
      </c>
      <c r="D124" s="71">
        <v>2277</v>
      </c>
      <c r="E124" s="8" t="s">
        <v>3942</v>
      </c>
      <c r="F124" s="29"/>
      <c r="G124" s="238" t="s">
        <v>3915</v>
      </c>
      <c r="H124" s="30"/>
      <c r="I124" s="26">
        <v>430000000</v>
      </c>
      <c r="J124" s="26">
        <v>0</v>
      </c>
      <c r="K124" s="26">
        <f t="shared" si="1"/>
        <v>430000000</v>
      </c>
    </row>
    <row r="125" spans="1:11" ht="15">
      <c r="A125" s="17"/>
      <c r="B125" s="18"/>
      <c r="C125" s="18"/>
      <c r="D125" s="18"/>
      <c r="E125" s="18"/>
      <c r="F125" s="18"/>
      <c r="G125" s="298" t="s">
        <v>19</v>
      </c>
      <c r="H125" s="299"/>
      <c r="I125" s="31">
        <f>SUM(I11:I124)</f>
        <v>6455160376</v>
      </c>
      <c r="J125" s="31">
        <f>SUM(J11:J124)</f>
        <v>5749714057</v>
      </c>
      <c r="K125" s="31">
        <f>SUM(K11:K124)</f>
        <v>705446319</v>
      </c>
    </row>
    <row r="126" spans="1:11" ht="12.75" customHeight="1">
      <c r="A126" s="17"/>
      <c r="B126" s="18"/>
      <c r="C126" s="18"/>
      <c r="D126" s="18"/>
      <c r="E126" s="18"/>
      <c r="F126" s="22"/>
      <c r="G126" s="223"/>
      <c r="H126" s="18"/>
      <c r="I126" s="22"/>
      <c r="J126" s="22"/>
      <c r="K126" s="23"/>
    </row>
    <row r="127" spans="1:11" ht="24.95" customHeight="1">
      <c r="A127" s="76" t="s">
        <v>38</v>
      </c>
      <c r="B127" s="77" t="s">
        <v>40</v>
      </c>
      <c r="C127" s="76" t="s">
        <v>41</v>
      </c>
      <c r="D127" s="78" t="s">
        <v>39</v>
      </c>
      <c r="E127" s="76" t="s">
        <v>15</v>
      </c>
      <c r="F127" s="76" t="s">
        <v>34</v>
      </c>
      <c r="G127" s="232" t="s">
        <v>16</v>
      </c>
      <c r="H127" s="76" t="s">
        <v>22</v>
      </c>
      <c r="I127" s="76" t="s">
        <v>12</v>
      </c>
      <c r="J127" s="76" t="s">
        <v>23</v>
      </c>
      <c r="K127" s="76" t="s">
        <v>4</v>
      </c>
    </row>
    <row r="128" spans="1:11" ht="24.95" customHeight="1">
      <c r="A128" s="79">
        <v>6499334000</v>
      </c>
      <c r="B128" s="79">
        <v>0</v>
      </c>
      <c r="C128" s="79">
        <v>0</v>
      </c>
      <c r="D128" s="80">
        <f>+A128+B128-C128</f>
        <v>6499334000</v>
      </c>
      <c r="E128" s="80">
        <f>+I125</f>
        <v>6455160376</v>
      </c>
      <c r="F128" s="81">
        <f>+E128/D128</f>
        <v>0.99320336145211185</v>
      </c>
      <c r="G128" s="233">
        <f>+I8</f>
        <v>0</v>
      </c>
      <c r="H128" s="80">
        <f>+D128-E128-G128</f>
        <v>44173624</v>
      </c>
      <c r="I128" s="80">
        <f>+J125</f>
        <v>5749714057</v>
      </c>
      <c r="J128" s="81">
        <f>+I128/D128</f>
        <v>0.88466203721796721</v>
      </c>
      <c r="K128" s="80">
        <f>+K125</f>
        <v>705446319</v>
      </c>
    </row>
    <row r="129" spans="1:11" ht="15">
      <c r="A129" s="82">
        <v>1</v>
      </c>
      <c r="B129" s="82">
        <v>2</v>
      </c>
      <c r="C129" s="82">
        <v>3</v>
      </c>
      <c r="D129" s="82" t="s">
        <v>3</v>
      </c>
      <c r="E129" s="82">
        <v>5</v>
      </c>
      <c r="F129" s="82" t="s">
        <v>18</v>
      </c>
      <c r="G129" s="235">
        <v>7</v>
      </c>
      <c r="H129" s="82" t="s">
        <v>9</v>
      </c>
      <c r="I129" s="82">
        <v>9</v>
      </c>
      <c r="J129" s="82" t="s">
        <v>24</v>
      </c>
      <c r="K129" s="82" t="s">
        <v>25</v>
      </c>
    </row>
    <row r="131" spans="2:2" ht="15">
      <c r="B131" s="68"/>
    </row>
    <row r="132" spans="2:9" ht="15">
      <c r="B132" s="68"/>
      <c r="I132" s="68"/>
    </row>
    <row r="133" spans="2:2" ht="15">
      <c r="B133" s="68"/>
    </row>
  </sheetData>
  <mergeCells count="16">
    <mergeCell ref="J9:J10"/>
    <mergeCell ref="E10:F10"/>
    <mergeCell ref="G10:H10"/>
    <mergeCell ref="A3:J3"/>
    <mergeCell ref="A5:A6"/>
    <mergeCell ref="B5:B6"/>
    <mergeCell ref="D5:D6"/>
    <mergeCell ref="E5:H5"/>
    <mergeCell ref="I5:I6"/>
    <mergeCell ref="J5:K6"/>
    <mergeCell ref="E6:H6"/>
    <mergeCell ref="G125:H125"/>
    <mergeCell ref="G8:H8"/>
    <mergeCell ref="A9:A10"/>
    <mergeCell ref="E9:H9"/>
    <mergeCell ref="I9:I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P18"/>
  <sheetViews>
    <sheetView tabSelected="1" workbookViewId="0" topLeftCell="B1">
      <selection pane="topLeft" activeCell="M11" sqref="M11"/>
    </sheetView>
  </sheetViews>
  <sheetFormatPr defaultColWidth="11.424285714285714" defaultRowHeight="23.1" customHeight="1"/>
  <cols>
    <col min="1" max="2" width="20.571428571428573" style="37" customWidth="1"/>
    <col min="3" max="3" width="12.714285714285714" style="37" customWidth="1"/>
    <col min="4" max="4" width="40.714285714285715" style="37" customWidth="1"/>
    <col min="5" max="6" width="18.571428571428573" style="37" customWidth="1"/>
    <col min="7" max="7" width="16.428571428571427" style="37" customWidth="1"/>
    <col min="8" max="8" width="18.571428571428573" style="37" customWidth="1"/>
    <col min="9" max="9" width="19.428571428571427" style="37" customWidth="1"/>
    <col min="10" max="10" width="15.714285714285714" style="37" customWidth="1"/>
    <col min="11" max="11" width="18.571428571428573" style="37" customWidth="1"/>
    <col min="12" max="12" width="18.714285714285715" style="37" customWidth="1"/>
    <col min="13" max="13" width="16.714285714285715" style="37" customWidth="1"/>
    <col min="14" max="14" width="12.714285714285714" style="37" customWidth="1"/>
    <col min="15" max="15" width="16.714285714285715" style="37" customWidth="1"/>
    <col min="16" max="17" width="12.857142857142858" style="92" bestFit="1" customWidth="1"/>
    <col min="18" max="16384" width="11.428571428571429" style="37"/>
  </cols>
  <sheetData>
    <row r="1" spans="3:15" ht="12.75" customHeight="1">
      <c r="C1" s="38"/>
      <c r="D1" s="39"/>
      <c r="E1" s="38"/>
      <c r="F1" s="39" t="s">
        <v>483</v>
      </c>
      <c r="G1" s="38"/>
      <c r="H1" s="38"/>
      <c r="I1" s="38"/>
      <c r="J1" s="38"/>
      <c r="K1" s="38"/>
      <c r="L1" s="38"/>
      <c r="M1" s="38"/>
      <c r="N1" s="38"/>
      <c r="O1" s="64"/>
    </row>
    <row r="2" spans="3:15" ht="12.75" customHeight="1">
      <c r="C2" s="38"/>
      <c r="D2" s="38"/>
      <c r="E2" s="39"/>
      <c r="F2" s="39"/>
      <c r="G2" s="38"/>
      <c r="H2" s="38"/>
      <c r="I2" s="38"/>
      <c r="J2" s="38"/>
      <c r="K2" s="38"/>
      <c r="L2" s="38"/>
      <c r="M2" s="40"/>
      <c r="N2" s="38"/>
      <c r="O2" s="75" t="s">
        <v>3890</v>
      </c>
    </row>
    <row r="3" spans="1:15" ht="33.95" customHeight="1">
      <c r="A3" s="41" t="s">
        <v>29</v>
      </c>
      <c r="B3" s="41" t="s">
        <v>28</v>
      </c>
      <c r="C3" s="41" t="s">
        <v>37</v>
      </c>
      <c r="D3" s="41" t="s">
        <v>27</v>
      </c>
      <c r="E3" s="51" t="s">
        <v>38</v>
      </c>
      <c r="F3" s="41" t="s">
        <v>40</v>
      </c>
      <c r="G3" s="41" t="s">
        <v>41</v>
      </c>
      <c r="H3" s="51" t="s">
        <v>39</v>
      </c>
      <c r="I3" s="42" t="s">
        <v>15</v>
      </c>
      <c r="J3" s="51" t="s">
        <v>34</v>
      </c>
      <c r="K3" s="43" t="s">
        <v>16</v>
      </c>
      <c r="L3" s="51" t="s">
        <v>22</v>
      </c>
      <c r="M3" s="44" t="s">
        <v>6</v>
      </c>
      <c r="N3" s="51" t="s">
        <v>23</v>
      </c>
      <c r="O3" s="51" t="s">
        <v>4</v>
      </c>
    </row>
    <row r="4" spans="2:15" ht="38.25" customHeight="1">
      <c r="B4" s="52"/>
      <c r="C4" s="105"/>
      <c r="D4" s="48" t="s">
        <v>293</v>
      </c>
      <c r="E4" s="49">
        <v>0</v>
      </c>
      <c r="F4" s="49">
        <f>SUM(F5:F11)</f>
        <v>0</v>
      </c>
      <c r="G4" s="49">
        <v>0</v>
      </c>
      <c r="H4" s="49">
        <f>SUM(H5:H11)</f>
        <v>75043144000</v>
      </c>
      <c r="I4" s="49">
        <f>SUM(I5:I11)</f>
        <v>69344745605</v>
      </c>
      <c r="J4" s="47">
        <f>+I4/H4</f>
        <v>0.92406503657416061</v>
      </c>
      <c r="K4" s="49"/>
      <c r="L4" s="49">
        <f>SUM(L5:L11)</f>
        <v>5698398395</v>
      </c>
      <c r="M4" s="49">
        <f>SUM(M5:M11)</f>
        <v>56983260127</v>
      </c>
      <c r="N4" s="47">
        <f>+M4/H4</f>
        <v>0.75933998883362352</v>
      </c>
      <c r="O4" s="49">
        <f>SUM(O5:O11)</f>
        <v>12361485478</v>
      </c>
    </row>
    <row r="5" spans="2:15" ht="52.5" customHeight="1">
      <c r="B5" s="51" t="s">
        <v>30</v>
      </c>
      <c r="C5" s="105" t="s">
        <v>280</v>
      </c>
      <c r="D5" s="45" t="s">
        <v>279</v>
      </c>
      <c r="E5" s="49">
        <f>+'7787'!A380</f>
        <v>9000000000</v>
      </c>
      <c r="F5" s="49">
        <f>+'7787'!B380</f>
        <v>0</v>
      </c>
      <c r="G5" s="49">
        <f>+'7787'!C380</f>
        <v>0</v>
      </c>
      <c r="H5" s="49">
        <f>+'7787'!D380</f>
        <v>9000000000</v>
      </c>
      <c r="I5" s="49">
        <f>+'7787'!E380</f>
        <v>7499782236</v>
      </c>
      <c r="J5" s="47">
        <f>+'7787'!F380</f>
        <v>0.83330913733333334</v>
      </c>
      <c r="K5" s="49">
        <f>+'7787'!G380</f>
        <v>0</v>
      </c>
      <c r="L5" s="49">
        <f>+'7787'!H380</f>
        <v>1500217764</v>
      </c>
      <c r="M5" s="49">
        <f>+'7787'!I380</f>
        <v>6277511645</v>
      </c>
      <c r="N5" s="47">
        <f>+'7787'!J380</f>
        <v>0.69750129388888893</v>
      </c>
      <c r="O5" s="49">
        <f>+'7787'!K380</f>
        <v>1222270591</v>
      </c>
    </row>
    <row r="6" spans="2:15" ht="38.25" customHeight="1">
      <c r="B6" s="51" t="s">
        <v>32</v>
      </c>
      <c r="C6" s="105" t="s">
        <v>281</v>
      </c>
      <c r="D6" s="45" t="s">
        <v>282</v>
      </c>
      <c r="E6" s="49">
        <f>+'7795'!A376</f>
        <v>34069707000</v>
      </c>
      <c r="F6" s="49">
        <f>+'7795'!B376</f>
        <v>-1000000000</v>
      </c>
      <c r="G6" s="49"/>
      <c r="H6" s="49">
        <f>+'7795'!D376</f>
        <v>33069707000</v>
      </c>
      <c r="I6" s="49">
        <f>+'7795'!E376</f>
        <v>29947082184</v>
      </c>
      <c r="J6" s="47">
        <f>+'7795'!F376</f>
        <v>0.90557446378342576</v>
      </c>
      <c r="K6" s="49">
        <f>+'7795'!G376</f>
        <v>0</v>
      </c>
      <c r="L6" s="49">
        <f>+'7795'!H376</f>
        <v>3122624816</v>
      </c>
      <c r="M6" s="49">
        <f>+'7795'!I376</f>
        <v>22052733274</v>
      </c>
      <c r="N6" s="47">
        <f>+'7795'!J376</f>
        <v>0.66685602246188636</v>
      </c>
      <c r="O6" s="49">
        <f>+'7795'!K376</f>
        <v>7894348910</v>
      </c>
    </row>
    <row r="7" spans="2:15" ht="38.25" customHeight="1">
      <c r="B7" s="51" t="s">
        <v>30</v>
      </c>
      <c r="C7" s="105" t="s">
        <v>283</v>
      </c>
      <c r="D7" s="45" t="s">
        <v>284</v>
      </c>
      <c r="E7" s="49">
        <f>+'7793'!A345</f>
        <v>8000000000</v>
      </c>
      <c r="F7" s="49">
        <f>+'7793'!B345</f>
        <v>0</v>
      </c>
      <c r="G7" s="49"/>
      <c r="H7" s="49">
        <f>+'7793'!D345</f>
        <v>8000000000</v>
      </c>
      <c r="I7" s="49">
        <f>+'7793'!E345</f>
        <v>7344453344</v>
      </c>
      <c r="J7" s="47">
        <f>+'7793'!F345</f>
        <v>0.91805666799999996</v>
      </c>
      <c r="K7" s="49">
        <f>+'7793'!G345</f>
        <v>0</v>
      </c>
      <c r="L7" s="49">
        <f>+'7793'!H345</f>
        <v>655546656</v>
      </c>
      <c r="M7" s="49">
        <f>+'7793'!I345</f>
        <v>6004827383</v>
      </c>
      <c r="N7" s="47">
        <f>+'7793'!J345</f>
        <v>0.75060342287500004</v>
      </c>
      <c r="O7" s="49">
        <f>+'7793'!K345</f>
        <v>1339625961</v>
      </c>
    </row>
    <row r="8" spans="2:15" ht="38.25" customHeight="1">
      <c r="B8" s="51" t="s">
        <v>30</v>
      </c>
      <c r="C8" s="105" t="s">
        <v>285</v>
      </c>
      <c r="D8" s="45" t="s">
        <v>286</v>
      </c>
      <c r="E8" s="49">
        <f>+'7803'!A82</f>
        <v>3783802000</v>
      </c>
      <c r="F8" s="49">
        <f>+'7803'!B82</f>
        <v>0</v>
      </c>
      <c r="G8" s="49"/>
      <c r="H8" s="49">
        <f>+'7803'!D82</f>
        <v>3783802000</v>
      </c>
      <c r="I8" s="49">
        <f>+'7803'!E82</f>
        <v>3717066486</v>
      </c>
      <c r="J8" s="47">
        <f>+'7803'!F82</f>
        <v>0.98236284192460388</v>
      </c>
      <c r="K8" s="49">
        <f>+'7803'!G82</f>
        <v>0</v>
      </c>
      <c r="L8" s="49">
        <f>+'7803'!H82</f>
        <v>66735514</v>
      </c>
      <c r="M8" s="49">
        <f>+'7803'!I82</f>
        <v>3072016975</v>
      </c>
      <c r="N8" s="47">
        <f>+'7803'!J82</f>
        <v>0.81188629188313766</v>
      </c>
      <c r="O8" s="49">
        <f>+'7803'!K82</f>
        <v>645049511</v>
      </c>
    </row>
    <row r="9" spans="2:15" ht="38.25" customHeight="1">
      <c r="B9" s="51" t="s">
        <v>33</v>
      </c>
      <c r="C9" s="105" t="s">
        <v>287</v>
      </c>
      <c r="D9" s="45" t="s">
        <v>288</v>
      </c>
      <c r="E9" s="49">
        <f>+'7799'!A68</f>
        <v>1690301000</v>
      </c>
      <c r="F9" s="49">
        <f>+'7799'!B68</f>
        <v>0</v>
      </c>
      <c r="G9" s="49"/>
      <c r="H9" s="49">
        <f>+'7799'!D68</f>
        <v>1690301000</v>
      </c>
      <c r="I9" s="49">
        <f>+'7799'!E68</f>
        <v>1662363086</v>
      </c>
      <c r="J9" s="47">
        <f>+'7799'!F68</f>
        <v>0.98347163375043856</v>
      </c>
      <c r="K9" s="49">
        <f>+'7799'!G68</f>
        <v>0</v>
      </c>
      <c r="L9" s="49">
        <f>+'7799'!H68</f>
        <v>27937914</v>
      </c>
      <c r="M9" s="49">
        <f>+'7799'!I68</f>
        <v>1662343085</v>
      </c>
      <c r="N9" s="47">
        <f>+'7799'!J68</f>
        <v>0.98345980094669527</v>
      </c>
      <c r="O9" s="49">
        <f>+'7799'!K68</f>
        <v>20001</v>
      </c>
    </row>
    <row r="10" spans="2:15" ht="38.25" customHeight="1">
      <c r="B10" s="51" t="s">
        <v>31</v>
      </c>
      <c r="C10" s="105" t="s">
        <v>289</v>
      </c>
      <c r="D10" s="45" t="s">
        <v>290</v>
      </c>
      <c r="E10" s="49">
        <f>+'7800'!A454</f>
        <v>12000000000</v>
      </c>
      <c r="F10" s="49">
        <f>+'7800'!B454</f>
        <v>1000000000</v>
      </c>
      <c r="G10" s="49"/>
      <c r="H10" s="49">
        <f>+'7800'!D454</f>
        <v>13000000000</v>
      </c>
      <c r="I10" s="49">
        <f>+'7800'!E454</f>
        <v>12718837893</v>
      </c>
      <c r="J10" s="47">
        <f>+'7800'!F454</f>
        <v>0.97837214561538466</v>
      </c>
      <c r="K10" s="49">
        <f>+'7800'!G454</f>
        <v>0</v>
      </c>
      <c r="L10" s="49">
        <f>+'7800'!H454</f>
        <v>281162107</v>
      </c>
      <c r="M10" s="49">
        <f>+'7800'!I454</f>
        <v>12164113708</v>
      </c>
      <c r="N10" s="47">
        <f>+'7800'!J454</f>
        <v>0.93570105446153851</v>
      </c>
      <c r="O10" s="49">
        <f>+'7800'!K454</f>
        <v>554724185</v>
      </c>
    </row>
    <row r="11" spans="2:15" ht="38.25" customHeight="1">
      <c r="B11" s="51" t="s">
        <v>32</v>
      </c>
      <c r="C11" s="105" t="s">
        <v>291</v>
      </c>
      <c r="D11" s="45" t="s">
        <v>292</v>
      </c>
      <c r="E11" s="49">
        <f>+'7801'!A128</f>
        <v>6499334000</v>
      </c>
      <c r="F11" s="49">
        <f>+'7801'!B128</f>
        <v>0</v>
      </c>
      <c r="G11" s="49"/>
      <c r="H11" s="49">
        <f>+'7801'!D128</f>
        <v>6499334000</v>
      </c>
      <c r="I11" s="49">
        <f>+'7801'!E128</f>
        <v>6455160376</v>
      </c>
      <c r="J11" s="47">
        <f>+'7801'!F128</f>
        <v>0.99320336145211185</v>
      </c>
      <c r="K11" s="49">
        <f>+'7801'!G128</f>
        <v>0</v>
      </c>
      <c r="L11" s="49">
        <f>+'7801'!H128</f>
        <v>44173624</v>
      </c>
      <c r="M11" s="49">
        <f>+'7801'!I128</f>
        <v>5749714057</v>
      </c>
      <c r="N11" s="47">
        <f>+'7801'!J128</f>
        <v>0.88466203721796721</v>
      </c>
      <c r="O11" s="49">
        <f>+'7801'!K128</f>
        <v>705446319</v>
      </c>
    </row>
    <row r="12" spans="2:15" ht="38.25" customHeight="1">
      <c r="B12" s="53"/>
      <c r="C12" s="54"/>
      <c r="D12" s="50" t="s">
        <v>36</v>
      </c>
      <c r="E12" s="46">
        <f>SUM(E4:E11)</f>
        <v>75043144000</v>
      </c>
      <c r="F12" s="46">
        <f>SUM(F4:F11)</f>
        <v>0</v>
      </c>
      <c r="G12" s="46">
        <f>+G5+G4</f>
        <v>0</v>
      </c>
      <c r="H12" s="46">
        <f>SUM(H5:H11)</f>
        <v>75043144000</v>
      </c>
      <c r="I12" s="46">
        <f>+I4</f>
        <v>69344745605</v>
      </c>
      <c r="J12" s="47"/>
      <c r="K12" s="46">
        <f>SUM(K4:K11)</f>
        <v>0</v>
      </c>
      <c r="L12" s="46">
        <f>SUM(L5:L11)</f>
        <v>5698398395</v>
      </c>
      <c r="M12" s="73">
        <f>SUM(M5:M11)</f>
        <v>56983260127</v>
      </c>
      <c r="N12" s="47">
        <f>+M12/H12</f>
        <v>0.75933998883362352</v>
      </c>
      <c r="O12" s="73">
        <f>SUM(O5:O11)</f>
        <v>12361485478</v>
      </c>
    </row>
    <row r="13" spans="2:15" ht="27" customHeight="1">
      <c r="B13" s="59"/>
      <c r="C13" s="60"/>
      <c r="D13" s="61"/>
      <c r="E13" s="62"/>
      <c r="F13" s="62"/>
      <c r="G13" s="62"/>
      <c r="H13" s="62"/>
      <c r="I13" s="62"/>
      <c r="J13" s="63"/>
      <c r="K13" s="62"/>
      <c r="L13" s="62"/>
      <c r="M13" s="62"/>
      <c r="N13" s="63"/>
      <c r="O13" s="62"/>
    </row>
    <row r="14" spans="2:16" ht="27" customHeight="1">
      <c r="B14" s="55"/>
      <c r="C14" s="56"/>
      <c r="D14" s="90"/>
      <c r="E14" s="58"/>
      <c r="F14" s="58"/>
      <c r="G14" s="58"/>
      <c r="H14" s="58"/>
      <c r="I14" s="58"/>
      <c r="J14" s="58"/>
      <c r="K14" s="58"/>
      <c r="L14" s="58"/>
      <c r="M14" s="58"/>
      <c r="N14" s="58"/>
      <c r="O14" s="58"/>
      <c r="P14" s="91"/>
    </row>
    <row r="15" spans="2:15" ht="27" customHeight="1">
      <c r="B15" s="55"/>
      <c r="C15" s="56"/>
      <c r="D15" s="57"/>
      <c r="E15" s="58"/>
      <c r="F15" s="58"/>
      <c r="G15" s="58"/>
      <c r="H15" s="58"/>
      <c r="I15" s="58"/>
      <c r="J15" s="58"/>
      <c r="K15" s="58"/>
      <c r="L15" s="58"/>
      <c r="M15" s="58"/>
      <c r="N15" s="58"/>
      <c r="O15" s="58"/>
    </row>
    <row r="16" spans="6:13" ht="23.1" customHeight="1">
      <c r="F16" s="65"/>
      <c r="H16" s="65"/>
      <c r="I16" s="66"/>
      <c r="M16" s="65"/>
    </row>
    <row r="17" spans="5:15" ht="23.1" customHeight="1">
      <c r="E17" s="65"/>
      <c r="F17" s="65"/>
      <c r="G17" s="65"/>
      <c r="H17" s="65"/>
      <c r="I17" s="65"/>
      <c r="J17" s="65"/>
      <c r="K17" s="65"/>
      <c r="L17" s="65"/>
      <c r="M17" s="65"/>
      <c r="N17" s="65"/>
      <c r="O17" s="65"/>
    </row>
    <row r="18" spans="5:15" ht="23.1" customHeight="1">
      <c r="E18" s="65"/>
      <c r="F18" s="65"/>
      <c r="G18" s="65"/>
      <c r="H18" s="65"/>
      <c r="I18" s="65"/>
      <c r="J18" s="65"/>
      <c r="K18" s="65"/>
      <c r="L18" s="65"/>
      <c r="M18" s="65"/>
      <c r="N18" s="65"/>
      <c r="O18" s="65"/>
    </row>
  </sheetData>
  <printOptions horizontalCentered="1" verticalCentered="1"/>
  <pageMargins left="0.5905511811023623" right="0.1968503937007874" top="0.1968503937007874" bottom="0.1968503937007874" header="0" footer="0"/>
  <pageSetup orientation="landscape" paperSize="14" scale="60" r:id="rId1"/>
  <headerFooter>
    <oddHeader>&amp;L&amp;D&amp;R&amp;D</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topLeftCell="A1">
      <selection pane="topLeft" activeCell="A28" sqref="A28:XFD39"/>
    </sheetView>
  </sheetViews>
  <sheetFormatPr defaultColWidth="11.424285714285714" defaultRowHeight="12.75"/>
  <cols>
    <col min="6" max="6" width="13.142857142857142" customWidth="1"/>
    <col min="8" max="8" width="13.428571428571429" customWidth="1"/>
    <col min="10" max="10" width="12.571428571428571" customWidth="1"/>
    <col min="11" max="11" width="14.285714285714286" customWidth="1"/>
  </cols>
  <sheetData>
    <row r="2" spans="3:3" ht="12.75">
      <c r="C2" s="138" t="s">
        <v>80</v>
      </c>
    </row>
    <row r="3" spans="3:3" ht="12.75">
      <c r="C3" s="138" t="s">
        <v>306</v>
      </c>
    </row>
    <row r="4" ht="13.5" thickBot="1"/>
    <row r="5" spans="1:11" ht="25.5">
      <c r="A5" s="306" t="s">
        <v>5</v>
      </c>
      <c r="B5" s="121" t="s">
        <v>13</v>
      </c>
      <c r="C5" s="122" t="s">
        <v>20</v>
      </c>
      <c r="D5" s="123" t="s">
        <v>20</v>
      </c>
      <c r="E5" s="308" t="s">
        <v>15</v>
      </c>
      <c r="F5" s="309"/>
      <c r="G5" s="309"/>
      <c r="H5" s="310"/>
      <c r="I5" s="311" t="s">
        <v>7</v>
      </c>
      <c r="J5" s="311" t="s">
        <v>6</v>
      </c>
      <c r="K5" s="124" t="s">
        <v>0</v>
      </c>
    </row>
    <row r="6" spans="1:11" ht="15">
      <c r="A6" s="307"/>
      <c r="B6" s="119" t="s">
        <v>14</v>
      </c>
      <c r="C6" s="119" t="s">
        <v>11</v>
      </c>
      <c r="D6" s="119" t="s">
        <v>10</v>
      </c>
      <c r="E6" s="300" t="s">
        <v>2</v>
      </c>
      <c r="F6" s="302"/>
      <c r="G6" s="300" t="s">
        <v>8</v>
      </c>
      <c r="H6" s="302"/>
      <c r="I6" s="288"/>
      <c r="J6" s="288"/>
      <c r="K6" s="125" t="s">
        <v>1</v>
      </c>
    </row>
    <row r="7" spans="1:166" s="88" customFormat="1" ht="15">
      <c r="A7" s="126">
        <v>43982</v>
      </c>
      <c r="B7" s="120">
        <v>587</v>
      </c>
      <c r="C7" s="16">
        <v>840</v>
      </c>
      <c r="D7" s="28">
        <v>867</v>
      </c>
      <c r="E7" s="70" t="s">
        <v>269</v>
      </c>
      <c r="F7" s="29"/>
      <c r="G7" s="87" t="s">
        <v>251</v>
      </c>
      <c r="H7" s="30"/>
      <c r="I7" s="26">
        <v>45500000</v>
      </c>
      <c r="J7" s="26">
        <v>6500000</v>
      </c>
      <c r="K7" s="127">
        <f t="shared" si="0" ref="K7:K9">+I7-J7</f>
        <v>39000000</v>
      </c>
      <c r="L7" s="89"/>
      <c r="M7" s="89"/>
      <c r="N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row>
    <row r="8" spans="1:166" s="88" customFormat="1" ht="15">
      <c r="A8" s="126">
        <v>43982</v>
      </c>
      <c r="B8" s="120">
        <v>586</v>
      </c>
      <c r="C8" s="16">
        <v>842</v>
      </c>
      <c r="D8" s="28">
        <v>870</v>
      </c>
      <c r="E8" s="70" t="s">
        <v>270</v>
      </c>
      <c r="F8" s="29"/>
      <c r="G8" s="87" t="s">
        <v>252</v>
      </c>
      <c r="H8" s="30"/>
      <c r="I8" s="26">
        <v>35000000</v>
      </c>
      <c r="J8" s="26">
        <v>4833333</v>
      </c>
      <c r="K8" s="127">
        <f t="shared" si="0"/>
        <v>30166667</v>
      </c>
      <c r="L8" s="89"/>
      <c r="M8" s="89"/>
      <c r="N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row>
    <row r="9" spans="1:166" s="88" customFormat="1" ht="15">
      <c r="A9" s="126">
        <v>43982</v>
      </c>
      <c r="B9" s="120">
        <v>560</v>
      </c>
      <c r="C9" s="16">
        <v>852</v>
      </c>
      <c r="D9" s="28">
        <v>872</v>
      </c>
      <c r="E9" s="70" t="s">
        <v>271</v>
      </c>
      <c r="F9" s="29"/>
      <c r="G9" s="87" t="s">
        <v>253</v>
      </c>
      <c r="H9" s="30"/>
      <c r="I9" s="26">
        <v>42000000</v>
      </c>
      <c r="J9" s="26">
        <v>5800000</v>
      </c>
      <c r="K9" s="127">
        <f t="shared" si="0"/>
        <v>36200000</v>
      </c>
      <c r="L9" s="89"/>
      <c r="M9" s="89"/>
      <c r="N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row>
    <row r="10" spans="1:166" s="3" customFormat="1" ht="15">
      <c r="A10" s="126">
        <v>43982</v>
      </c>
      <c r="B10" s="120">
        <v>561</v>
      </c>
      <c r="C10" s="16">
        <v>843</v>
      </c>
      <c r="D10" s="28">
        <v>877</v>
      </c>
      <c r="E10" s="70" t="s">
        <v>272</v>
      </c>
      <c r="F10" s="29"/>
      <c r="G10" s="87" t="s">
        <v>254</v>
      </c>
      <c r="H10" s="30"/>
      <c r="I10" s="26">
        <v>42000000</v>
      </c>
      <c r="J10" s="26">
        <v>6000000</v>
      </c>
      <c r="K10" s="127">
        <f t="shared" si="1" ref="K10:K22">+I10-J10</f>
        <v>36000000</v>
      </c>
      <c r="L10" s="89"/>
      <c r="M10" s="89"/>
      <c r="N10" s="88"/>
      <c r="O10" s="88"/>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row>
    <row r="11" spans="1:166" s="3" customFormat="1" ht="15">
      <c r="A11" s="126">
        <v>43982</v>
      </c>
      <c r="B11" s="120">
        <v>602</v>
      </c>
      <c r="C11" s="16">
        <v>874</v>
      </c>
      <c r="D11" s="28">
        <v>878</v>
      </c>
      <c r="E11" s="70" t="s">
        <v>273</v>
      </c>
      <c r="F11" s="29"/>
      <c r="G11" s="87" t="s">
        <v>255</v>
      </c>
      <c r="H11" s="30"/>
      <c r="I11" s="26">
        <v>16800000</v>
      </c>
      <c r="J11" s="26">
        <v>3920000</v>
      </c>
      <c r="K11" s="127">
        <f t="shared" si="1"/>
        <v>12880000</v>
      </c>
      <c r="L11" s="89"/>
      <c r="M11" s="89"/>
      <c r="N11" s="88"/>
      <c r="O11" s="88"/>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row>
    <row r="12" spans="1:166" s="3" customFormat="1" ht="15">
      <c r="A12" s="126">
        <v>43982</v>
      </c>
      <c r="B12" s="120">
        <v>606</v>
      </c>
      <c r="C12" s="16">
        <v>857</v>
      </c>
      <c r="D12" s="97">
        <v>887</v>
      </c>
      <c r="E12" s="94" t="s">
        <v>271</v>
      </c>
      <c r="F12" s="29"/>
      <c r="G12" s="99" t="s">
        <v>256</v>
      </c>
      <c r="H12" s="30"/>
      <c r="I12" s="26">
        <v>42000000</v>
      </c>
      <c r="J12" s="26">
        <v>5800000</v>
      </c>
      <c r="K12" s="127">
        <f t="shared" si="1"/>
        <v>36200000</v>
      </c>
      <c r="L12" s="89"/>
      <c r="M12" s="89"/>
      <c r="N12" s="88"/>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row>
    <row r="13" spans="1:166" s="3" customFormat="1" ht="15">
      <c r="A13" s="126">
        <v>43982</v>
      </c>
      <c r="B13" s="120">
        <v>604</v>
      </c>
      <c r="C13" s="16">
        <v>855</v>
      </c>
      <c r="D13" s="97">
        <v>893</v>
      </c>
      <c r="E13" s="94" t="s">
        <v>271</v>
      </c>
      <c r="F13" s="29"/>
      <c r="G13" s="99" t="s">
        <v>258</v>
      </c>
      <c r="H13" s="30"/>
      <c r="I13" s="26">
        <v>42000000</v>
      </c>
      <c r="J13" s="26">
        <v>5800000</v>
      </c>
      <c r="K13" s="127">
        <f t="shared" si="1"/>
        <v>36200000</v>
      </c>
      <c r="L13" s="89"/>
      <c r="M13" s="89"/>
      <c r="N13" s="88"/>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row>
    <row r="14" spans="1:166" s="3" customFormat="1" ht="15">
      <c r="A14" s="126">
        <v>43982</v>
      </c>
      <c r="B14" s="120">
        <v>601</v>
      </c>
      <c r="C14" s="16">
        <v>870</v>
      </c>
      <c r="D14" s="97">
        <v>904</v>
      </c>
      <c r="E14" s="94" t="s">
        <v>274</v>
      </c>
      <c r="F14" s="29"/>
      <c r="G14" s="99" t="s">
        <v>259</v>
      </c>
      <c r="H14" s="30"/>
      <c r="I14" s="26">
        <v>66500000</v>
      </c>
      <c r="J14" s="26">
        <v>9500000</v>
      </c>
      <c r="K14" s="127">
        <f t="shared" si="1"/>
        <v>57000000</v>
      </c>
      <c r="L14" s="89"/>
      <c r="M14" s="89"/>
      <c r="N14" s="88"/>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row>
    <row r="15" spans="1:166" s="3" customFormat="1" ht="15">
      <c r="A15" s="126">
        <v>43982</v>
      </c>
      <c r="B15" s="120">
        <v>584</v>
      </c>
      <c r="C15" s="16">
        <v>854</v>
      </c>
      <c r="D15" s="97">
        <v>905</v>
      </c>
      <c r="E15" s="94" t="s">
        <v>271</v>
      </c>
      <c r="F15" s="29"/>
      <c r="G15" s="99" t="s">
        <v>260</v>
      </c>
      <c r="H15" s="30"/>
      <c r="I15" s="26">
        <v>24000000</v>
      </c>
      <c r="J15" s="26">
        <v>5600000</v>
      </c>
      <c r="K15" s="127">
        <f t="shared" si="1"/>
        <v>18400000</v>
      </c>
      <c r="L15" s="89"/>
      <c r="M15" s="89"/>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row>
    <row r="16" spans="1:166" s="3" customFormat="1" ht="15">
      <c r="A16" s="126">
        <v>43982</v>
      </c>
      <c r="B16" s="120">
        <v>607</v>
      </c>
      <c r="C16" s="16">
        <v>873</v>
      </c>
      <c r="D16" s="97">
        <v>912</v>
      </c>
      <c r="E16" s="94" t="s">
        <v>272</v>
      </c>
      <c r="F16" s="29"/>
      <c r="G16" s="99" t="s">
        <v>261</v>
      </c>
      <c r="H16" s="30"/>
      <c r="I16" s="26">
        <v>24000000</v>
      </c>
      <c r="J16" s="26">
        <v>5200000</v>
      </c>
      <c r="K16" s="127">
        <f t="shared" si="1"/>
        <v>18800000</v>
      </c>
      <c r="L16" s="89"/>
      <c r="M16" s="89"/>
      <c r="N16" s="88"/>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row>
    <row r="17" spans="1:166" s="3" customFormat="1" ht="15">
      <c r="A17" s="126">
        <v>43982</v>
      </c>
      <c r="B17" s="120">
        <v>623</v>
      </c>
      <c r="C17" s="16">
        <v>884</v>
      </c>
      <c r="D17" s="97">
        <v>913</v>
      </c>
      <c r="E17" s="94" t="s">
        <v>272</v>
      </c>
      <c r="F17" s="29"/>
      <c r="G17" s="99" t="s">
        <v>262</v>
      </c>
      <c r="H17" s="30"/>
      <c r="I17" s="26">
        <v>42000000</v>
      </c>
      <c r="J17" s="26">
        <v>5800000</v>
      </c>
      <c r="K17" s="127">
        <f t="shared" si="1"/>
        <v>36200000</v>
      </c>
      <c r="L17" s="89"/>
      <c r="M17" s="89"/>
      <c r="N17" s="88"/>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row>
    <row r="18" spans="1:166" s="3" customFormat="1" ht="15">
      <c r="A18" s="126">
        <v>43982</v>
      </c>
      <c r="B18" s="120">
        <v>620</v>
      </c>
      <c r="C18" s="16">
        <v>879</v>
      </c>
      <c r="D18" s="97">
        <v>915</v>
      </c>
      <c r="E18" s="94" t="s">
        <v>275</v>
      </c>
      <c r="F18" s="29"/>
      <c r="G18" s="99" t="s">
        <v>264</v>
      </c>
      <c r="H18" s="30"/>
      <c r="I18" s="26">
        <v>26600000</v>
      </c>
      <c r="J18" s="26">
        <v>3673333</v>
      </c>
      <c r="K18" s="127">
        <f t="shared" si="1"/>
        <v>22926667</v>
      </c>
      <c r="L18" s="89"/>
      <c r="M18" s="89"/>
      <c r="N18" s="88"/>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row>
    <row r="19" spans="1:166" s="3" customFormat="1" ht="15">
      <c r="A19" s="126">
        <v>43982</v>
      </c>
      <c r="B19" s="120">
        <v>627</v>
      </c>
      <c r="C19" s="16">
        <v>885</v>
      </c>
      <c r="D19" s="97">
        <v>917</v>
      </c>
      <c r="E19" s="94" t="s">
        <v>272</v>
      </c>
      <c r="F19" s="29"/>
      <c r="G19" s="99" t="s">
        <v>265</v>
      </c>
      <c r="H19" s="30"/>
      <c r="I19" s="26">
        <v>24000000</v>
      </c>
      <c r="J19" s="26">
        <v>5600000</v>
      </c>
      <c r="K19" s="127">
        <f t="shared" si="1"/>
        <v>18400000</v>
      </c>
      <c r="L19" s="89"/>
      <c r="M19" s="89"/>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row>
    <row r="20" spans="1:166" s="3" customFormat="1" ht="15">
      <c r="A20" s="126">
        <v>43982</v>
      </c>
      <c r="B20" s="120">
        <v>625</v>
      </c>
      <c r="C20" s="16">
        <v>882</v>
      </c>
      <c r="D20" s="97">
        <v>919</v>
      </c>
      <c r="E20" s="94" t="s">
        <v>276</v>
      </c>
      <c r="F20" s="29"/>
      <c r="G20" s="99" t="s">
        <v>266</v>
      </c>
      <c r="H20" s="30"/>
      <c r="I20" s="26">
        <v>56000000</v>
      </c>
      <c r="J20" s="26">
        <v>7733333</v>
      </c>
      <c r="K20" s="127">
        <f t="shared" si="1"/>
        <v>48266667</v>
      </c>
      <c r="L20" s="89"/>
      <c r="M20" s="89"/>
      <c r="N20" s="88"/>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row>
    <row r="21" spans="1:166" s="3" customFormat="1" ht="15">
      <c r="A21" s="126">
        <v>43982</v>
      </c>
      <c r="B21" s="120">
        <v>626</v>
      </c>
      <c r="C21" s="16">
        <v>883</v>
      </c>
      <c r="D21" s="97">
        <v>920</v>
      </c>
      <c r="E21" s="94" t="s">
        <v>272</v>
      </c>
      <c r="F21" s="29"/>
      <c r="G21" s="99" t="s">
        <v>267</v>
      </c>
      <c r="H21" s="30"/>
      <c r="I21" s="26">
        <v>42000000</v>
      </c>
      <c r="J21" s="26">
        <v>0</v>
      </c>
      <c r="K21" s="127">
        <f t="shared" si="1"/>
        <v>42000000</v>
      </c>
      <c r="L21" s="89"/>
      <c r="M21" s="89"/>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row>
    <row r="22" spans="1:166" s="3" customFormat="1" ht="15.75" thickBot="1">
      <c r="A22" s="128">
        <v>43982</v>
      </c>
      <c r="B22" s="129">
        <v>605</v>
      </c>
      <c r="C22" s="130">
        <v>872</v>
      </c>
      <c r="D22" s="131">
        <v>925</v>
      </c>
      <c r="E22" s="132" t="s">
        <v>276</v>
      </c>
      <c r="F22" s="133"/>
      <c r="G22" s="137" t="s">
        <v>268</v>
      </c>
      <c r="H22" s="134"/>
      <c r="I22" s="135">
        <v>32000000</v>
      </c>
      <c r="J22" s="135">
        <v>7733333</v>
      </c>
      <c r="K22" s="136">
        <f t="shared" si="1"/>
        <v>24266667</v>
      </c>
      <c r="L22" s="89"/>
      <c r="M22" s="9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row>
    <row r="23" spans="1:11" ht="13.5" thickBot="1">
      <c r="A23" s="139"/>
      <c r="B23" s="140"/>
      <c r="C23" s="140"/>
      <c r="D23" s="140"/>
      <c r="E23" s="305" t="s">
        <v>305</v>
      </c>
      <c r="F23" s="305"/>
      <c r="G23" s="305"/>
      <c r="H23" s="305"/>
      <c r="I23" s="141">
        <f>SUM(I7:I22)</f>
        <v>602400000</v>
      </c>
      <c r="J23" s="141">
        <f>SUM(J7:J22)</f>
        <v>89493332</v>
      </c>
      <c r="K23" s="142">
        <f>SUM(K7:K22)</f>
        <v>512906668</v>
      </c>
    </row>
    <row r="28" spans="1:11" s="3" customFormat="1" ht="15">
      <c r="A28" s="179">
        <v>44138</v>
      </c>
      <c r="B28" s="182" t="s">
        <v>379</v>
      </c>
      <c r="C28" s="180" t="s">
        <v>438</v>
      </c>
      <c r="D28" s="181" t="s">
        <v>439</v>
      </c>
      <c r="E28" s="144" t="s">
        <v>463</v>
      </c>
      <c r="F28" s="183"/>
      <c r="G28" s="114" t="s">
        <v>373</v>
      </c>
      <c r="H28" s="30"/>
      <c r="I28" s="26">
        <v>7333333</v>
      </c>
      <c r="J28" s="26">
        <v>0</v>
      </c>
      <c r="K28" s="26">
        <f t="shared" si="2" ref="K28:K39">+I28-J28</f>
        <v>7333333</v>
      </c>
    </row>
    <row r="29" spans="1:11" s="3" customFormat="1" ht="15">
      <c r="A29" s="179">
        <v>44138</v>
      </c>
      <c r="B29" s="96" t="s">
        <v>380</v>
      </c>
      <c r="C29" s="16" t="s">
        <v>406</v>
      </c>
      <c r="D29" s="168" t="s">
        <v>440</v>
      </c>
      <c r="E29" s="147" t="s">
        <v>118</v>
      </c>
      <c r="F29" s="184"/>
      <c r="G29" s="115" t="s">
        <v>375</v>
      </c>
      <c r="H29" s="30"/>
      <c r="I29" s="26">
        <v>15400000</v>
      </c>
      <c r="J29" s="26">
        <v>0</v>
      </c>
      <c r="K29" s="26">
        <f t="shared" si="2"/>
        <v>15400000</v>
      </c>
    </row>
    <row r="30" spans="1:11" s="3" customFormat="1" ht="15">
      <c r="A30" s="179">
        <v>44138</v>
      </c>
      <c r="B30" s="96" t="s">
        <v>441</v>
      </c>
      <c r="C30" s="16" t="s">
        <v>442</v>
      </c>
      <c r="D30" s="168" t="s">
        <v>443</v>
      </c>
      <c r="E30" s="147" t="s">
        <v>464</v>
      </c>
      <c r="F30" s="184"/>
      <c r="G30" s="115" t="s">
        <v>432</v>
      </c>
      <c r="H30" s="30"/>
      <c r="I30" s="26">
        <v>17466667</v>
      </c>
      <c r="J30" s="26">
        <v>8000000</v>
      </c>
      <c r="K30" s="26">
        <f t="shared" si="2"/>
        <v>9466667</v>
      </c>
    </row>
    <row r="31" spans="1:11" s="3" customFormat="1" ht="15">
      <c r="A31" s="179">
        <v>44139</v>
      </c>
      <c r="B31" s="96" t="s">
        <v>444</v>
      </c>
      <c r="C31" s="16" t="s">
        <v>445</v>
      </c>
      <c r="D31" s="168" t="s">
        <v>446</v>
      </c>
      <c r="E31" s="147" t="s">
        <v>465</v>
      </c>
      <c r="F31" s="184"/>
      <c r="G31" s="115" t="s">
        <v>433</v>
      </c>
      <c r="H31" s="30"/>
      <c r="I31" s="26">
        <v>14413332</v>
      </c>
      <c r="J31" s="26">
        <v>0</v>
      </c>
      <c r="K31" s="26">
        <f t="shared" si="2"/>
        <v>14413332</v>
      </c>
    </row>
    <row r="32" spans="1:11" s="3" customFormat="1" ht="15">
      <c r="A32" s="179">
        <v>44139</v>
      </c>
      <c r="B32" s="96" t="s">
        <v>412</v>
      </c>
      <c r="C32" s="16" t="s">
        <v>407</v>
      </c>
      <c r="D32" s="168" t="s">
        <v>447</v>
      </c>
      <c r="E32" s="147" t="s">
        <v>466</v>
      </c>
      <c r="F32" s="184"/>
      <c r="G32" s="115" t="s">
        <v>434</v>
      </c>
      <c r="H32" s="30"/>
      <c r="I32" s="26">
        <v>21466666</v>
      </c>
      <c r="J32" s="26">
        <v>11200000</v>
      </c>
      <c r="K32" s="26">
        <f t="shared" si="2"/>
        <v>10266666</v>
      </c>
    </row>
    <row r="33" spans="1:11" s="3" customFormat="1" ht="15">
      <c r="A33" s="179">
        <v>44139</v>
      </c>
      <c r="B33" s="96" t="s">
        <v>381</v>
      </c>
      <c r="C33" s="16" t="s">
        <v>448</v>
      </c>
      <c r="D33" s="168" t="s">
        <v>449</v>
      </c>
      <c r="E33" s="147" t="s">
        <v>174</v>
      </c>
      <c r="F33" s="184"/>
      <c r="G33" s="115" t="s">
        <v>377</v>
      </c>
      <c r="H33" s="30"/>
      <c r="I33" s="26">
        <v>27336533</v>
      </c>
      <c r="J33" s="26">
        <v>0</v>
      </c>
      <c r="K33" s="26">
        <f t="shared" si="2"/>
        <v>27336533</v>
      </c>
    </row>
    <row r="34" spans="1:11" s="3" customFormat="1" ht="15">
      <c r="A34" s="179">
        <v>44139</v>
      </c>
      <c r="B34" s="96" t="s">
        <v>403</v>
      </c>
      <c r="C34" s="16" t="s">
        <v>450</v>
      </c>
      <c r="D34" s="168" t="s">
        <v>451</v>
      </c>
      <c r="E34" s="147" t="s">
        <v>467</v>
      </c>
      <c r="F34" s="184"/>
      <c r="G34" s="115" t="s">
        <v>396</v>
      </c>
      <c r="H34" s="30"/>
      <c r="I34" s="26">
        <v>10500000</v>
      </c>
      <c r="J34" s="26">
        <v>4200000</v>
      </c>
      <c r="K34" s="26">
        <f t="shared" si="2"/>
        <v>6300000</v>
      </c>
    </row>
    <row r="35" spans="1:11" s="3" customFormat="1" ht="15">
      <c r="A35" s="179">
        <v>44139</v>
      </c>
      <c r="B35" s="96" t="s">
        <v>452</v>
      </c>
      <c r="C35" s="16" t="s">
        <v>453</v>
      </c>
      <c r="D35" s="168" t="s">
        <v>454</v>
      </c>
      <c r="E35" s="147" t="s">
        <v>401</v>
      </c>
      <c r="F35" s="184"/>
      <c r="G35" s="115" t="s">
        <v>435</v>
      </c>
      <c r="H35" s="30"/>
      <c r="I35" s="26">
        <v>18643333</v>
      </c>
      <c r="J35" s="26">
        <v>4700000</v>
      </c>
      <c r="K35" s="26">
        <f t="shared" si="2"/>
        <v>13943333</v>
      </c>
    </row>
    <row r="36" spans="1:11" s="3" customFormat="1" ht="15">
      <c r="A36" s="179">
        <v>44139</v>
      </c>
      <c r="B36" s="96" t="s">
        <v>382</v>
      </c>
      <c r="C36" s="16" t="s">
        <v>455</v>
      </c>
      <c r="D36" s="168" t="s">
        <v>456</v>
      </c>
      <c r="E36" s="147" t="s">
        <v>466</v>
      </c>
      <c r="F36" s="184"/>
      <c r="G36" s="115" t="s">
        <v>378</v>
      </c>
      <c r="H36" s="30"/>
      <c r="I36" s="26">
        <v>15300000</v>
      </c>
      <c r="J36" s="26">
        <v>5400000</v>
      </c>
      <c r="K36" s="26">
        <f t="shared" si="2"/>
        <v>9900000</v>
      </c>
    </row>
    <row r="37" spans="1:11" s="3" customFormat="1" ht="15">
      <c r="A37" s="179">
        <v>44139</v>
      </c>
      <c r="B37" s="96" t="s">
        <v>457</v>
      </c>
      <c r="C37" s="16" t="s">
        <v>458</v>
      </c>
      <c r="D37" s="168" t="s">
        <v>459</v>
      </c>
      <c r="E37" s="147" t="s">
        <v>468</v>
      </c>
      <c r="F37" s="184"/>
      <c r="G37" s="115" t="s">
        <v>436</v>
      </c>
      <c r="H37" s="30"/>
      <c r="I37" s="26">
        <v>3066667</v>
      </c>
      <c r="J37" s="26">
        <v>3066667</v>
      </c>
      <c r="K37" s="26">
        <f t="shared" si="2"/>
        <v>0</v>
      </c>
    </row>
    <row r="38" spans="1:11" s="3" customFormat="1" ht="15">
      <c r="A38" s="95">
        <v>44139</v>
      </c>
      <c r="B38" s="96" t="s">
        <v>457</v>
      </c>
      <c r="C38" s="16" t="s">
        <v>458</v>
      </c>
      <c r="D38" s="168" t="s">
        <v>460</v>
      </c>
      <c r="E38" s="147" t="s">
        <v>468</v>
      </c>
      <c r="F38" s="184"/>
      <c r="G38" s="115" t="s">
        <v>437</v>
      </c>
      <c r="H38" s="30"/>
      <c r="I38" s="26">
        <v>20533333</v>
      </c>
      <c r="J38" s="26">
        <v>4800000</v>
      </c>
      <c r="K38" s="26">
        <f t="shared" si="2"/>
        <v>15733333</v>
      </c>
    </row>
    <row r="39" spans="1:15" s="3" customFormat="1" ht="15">
      <c r="A39" s="95">
        <v>44148</v>
      </c>
      <c r="B39" s="96" t="s">
        <v>367</v>
      </c>
      <c r="C39" s="16" t="s">
        <v>461</v>
      </c>
      <c r="D39" s="168" t="s">
        <v>462</v>
      </c>
      <c r="E39" s="147" t="s">
        <v>223</v>
      </c>
      <c r="F39" s="184"/>
      <c r="G39" s="115" t="s">
        <v>395</v>
      </c>
      <c r="H39" s="30"/>
      <c r="I39" s="26">
        <v>4200000</v>
      </c>
      <c r="J39" s="26">
        <v>4200000</v>
      </c>
      <c r="K39" s="26">
        <f t="shared" si="2"/>
        <v>0</v>
      </c>
      <c r="O39" s="68"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1</DocSecurity>
  <ScaleCrop>false</ScaleCrop>
  <HeadingPairs>
    <vt:vector size="2" baseType="variant">
      <vt:variant>
        <vt:lpstr>Worksheets</vt:lpstr>
      </vt:variant>
      <vt:variant>
        <vt:i4>9</vt:i4>
      </vt:variant>
    </vt:vector>
  </HeadingPairs>
  <TitlesOfParts>
    <vt:vector size="9" baseType="lpstr">
      <vt:lpstr>7787</vt:lpstr>
      <vt:lpstr>7795</vt:lpstr>
      <vt:lpstr>7793</vt:lpstr>
      <vt:lpstr>7803</vt:lpstr>
      <vt:lpstr>7799</vt:lpstr>
      <vt:lpstr>7800</vt:lpstr>
      <vt:lpstr>7801</vt:lpstr>
      <vt:lpstr>TOTAL</vt:lpstr>
      <vt:lpstr>Hoja1</vt:lpstr>
    </vt:vector>
  </TitlesOfParts>
  <Template/>
  <Manager/>
  <Company>secretaria de gobierno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presupuesto</dc:creator>
  <cp:keywords/>
  <dc:description/>
  <cp:lastModifiedBy>User</cp:lastModifiedBy>
  <cp:lastPrinted>2020-08-25T16:18:40Z</cp:lastPrinted>
  <dcterms:created xsi:type="dcterms:W3CDTF">2002-01-22T18:31:49Z</dcterms:created>
  <dcterms:modified xsi:type="dcterms:W3CDTF">2022-01-13T15:12:26Z</dcterms:modified>
  <cp:category/>
</cp:coreProperties>
</file>